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685D3184-11BB-42DA-B076-94BC565C6B9A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RKPD2023!$A$3:$L$143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9" i="1" l="1"/>
  <c r="C112" i="1"/>
  <c r="C64" i="1" l="1"/>
  <c r="K143" i="1" l="1"/>
  <c r="C142" i="1"/>
  <c r="C141" i="1"/>
  <c r="K141" i="1" s="1"/>
  <c r="J140" i="1"/>
  <c r="I140" i="1"/>
  <c r="H140" i="1"/>
  <c r="G140" i="1"/>
  <c r="F140" i="1"/>
  <c r="E140" i="1"/>
  <c r="D140" i="1"/>
  <c r="K139" i="1"/>
  <c r="C138" i="1"/>
  <c r="K138" i="1" s="1"/>
  <c r="K137" i="1"/>
  <c r="J136" i="1"/>
  <c r="I136" i="1"/>
  <c r="H136" i="1"/>
  <c r="G136" i="1"/>
  <c r="F136" i="1"/>
  <c r="E136" i="1"/>
  <c r="D136" i="1"/>
  <c r="C135" i="1"/>
  <c r="C134" i="1"/>
  <c r="C133" i="1"/>
  <c r="K132" i="1"/>
  <c r="K131" i="1"/>
  <c r="C130" i="1"/>
  <c r="K130" i="1" s="1"/>
  <c r="K129" i="1"/>
  <c r="C128" i="1"/>
  <c r="K128" i="1" s="1"/>
  <c r="J127" i="1"/>
  <c r="I127" i="1"/>
  <c r="H127" i="1"/>
  <c r="G127" i="1"/>
  <c r="F127" i="1"/>
  <c r="E127" i="1"/>
  <c r="D127" i="1"/>
  <c r="C126" i="1"/>
  <c r="K126" i="1" s="1"/>
  <c r="J125" i="1"/>
  <c r="I125" i="1"/>
  <c r="H125" i="1"/>
  <c r="G125" i="1"/>
  <c r="F125" i="1"/>
  <c r="E125" i="1"/>
  <c r="D125" i="1"/>
  <c r="K124" i="1"/>
  <c r="J123" i="1"/>
  <c r="I123" i="1"/>
  <c r="H123" i="1"/>
  <c r="G123" i="1"/>
  <c r="F123" i="1"/>
  <c r="E123" i="1"/>
  <c r="D123" i="1"/>
  <c r="C123" i="1"/>
  <c r="K122" i="1"/>
  <c r="K121" i="1"/>
  <c r="C120" i="1"/>
  <c r="K120" i="1" s="1"/>
  <c r="J119" i="1"/>
  <c r="I119" i="1"/>
  <c r="H119" i="1"/>
  <c r="G119" i="1"/>
  <c r="F119" i="1"/>
  <c r="E119" i="1"/>
  <c r="D119" i="1"/>
  <c r="C118" i="1"/>
  <c r="K118" i="1" s="1"/>
  <c r="K117" i="1"/>
  <c r="K116" i="1"/>
  <c r="J115" i="1"/>
  <c r="I115" i="1"/>
  <c r="H115" i="1"/>
  <c r="G115" i="1"/>
  <c r="F115" i="1"/>
  <c r="E115" i="1"/>
  <c r="D115" i="1"/>
  <c r="C113" i="1"/>
  <c r="K113" i="1" s="1"/>
  <c r="K112" i="1"/>
  <c r="J111" i="1"/>
  <c r="J110" i="1" s="1"/>
  <c r="I111" i="1"/>
  <c r="I110" i="1" s="1"/>
  <c r="H111" i="1"/>
  <c r="H110" i="1" s="1"/>
  <c r="G111" i="1"/>
  <c r="G110" i="1" s="1"/>
  <c r="F111" i="1"/>
  <c r="F110" i="1" s="1"/>
  <c r="E111" i="1"/>
  <c r="E110" i="1" s="1"/>
  <c r="D111" i="1"/>
  <c r="D110" i="1" s="1"/>
  <c r="C109" i="1"/>
  <c r="K109" i="1" s="1"/>
  <c r="K108" i="1"/>
  <c r="K107" i="1"/>
  <c r="J106" i="1"/>
  <c r="I106" i="1"/>
  <c r="H106" i="1"/>
  <c r="G106" i="1"/>
  <c r="F106" i="1"/>
  <c r="E106" i="1"/>
  <c r="D106" i="1"/>
  <c r="K105" i="1"/>
  <c r="K104" i="1"/>
  <c r="K103" i="1"/>
  <c r="K102" i="1"/>
  <c r="J101" i="1"/>
  <c r="I101" i="1"/>
  <c r="H101" i="1"/>
  <c r="G101" i="1"/>
  <c r="F101" i="1"/>
  <c r="E101" i="1"/>
  <c r="D101" i="1"/>
  <c r="C101" i="1"/>
  <c r="C99" i="1"/>
  <c r="K99" i="1" s="1"/>
  <c r="C98" i="1"/>
  <c r="C97" i="1"/>
  <c r="K97" i="1" s="1"/>
  <c r="C96" i="1"/>
  <c r="K96" i="1" s="1"/>
  <c r="C95" i="1"/>
  <c r="K95" i="1" s="1"/>
  <c r="K94" i="1"/>
  <c r="C93" i="1"/>
  <c r="K93" i="1" s="1"/>
  <c r="C92" i="1"/>
  <c r="K92" i="1" s="1"/>
  <c r="C91" i="1"/>
  <c r="K91" i="1" s="1"/>
  <c r="C90" i="1"/>
  <c r="K90" i="1" s="1"/>
  <c r="K89" i="1"/>
  <c r="C88" i="1"/>
  <c r="K88" i="1" s="1"/>
  <c r="C87" i="1"/>
  <c r="K87" i="1" s="1"/>
  <c r="K86" i="1"/>
  <c r="C85" i="1"/>
  <c r="K85" i="1" s="1"/>
  <c r="C84" i="1"/>
  <c r="K84" i="1" s="1"/>
  <c r="J83" i="1"/>
  <c r="I83" i="1"/>
  <c r="H83" i="1"/>
  <c r="G83" i="1"/>
  <c r="F83" i="1"/>
  <c r="E83" i="1"/>
  <c r="D83" i="1"/>
  <c r="C82" i="1"/>
  <c r="K82" i="1" s="1"/>
  <c r="C81" i="1"/>
  <c r="K81" i="1" s="1"/>
  <c r="C80" i="1"/>
  <c r="C79" i="1"/>
  <c r="C78" i="1"/>
  <c r="C77" i="1"/>
  <c r="K77" i="1" s="1"/>
  <c r="C76" i="1"/>
  <c r="K76" i="1" s="1"/>
  <c r="K75" i="1"/>
  <c r="C74" i="1"/>
  <c r="K74" i="1" s="1"/>
  <c r="C73" i="1"/>
  <c r="K73" i="1" s="1"/>
  <c r="K72" i="1"/>
  <c r="K71" i="1"/>
  <c r="K70" i="1"/>
  <c r="K69" i="1"/>
  <c r="K68" i="1"/>
  <c r="C67" i="1"/>
  <c r="K67" i="1" s="1"/>
  <c r="C66" i="1"/>
  <c r="K65" i="1"/>
  <c r="K64" i="1"/>
  <c r="J63" i="1"/>
  <c r="I63" i="1"/>
  <c r="H63" i="1"/>
  <c r="G63" i="1"/>
  <c r="F63" i="1"/>
  <c r="E63" i="1"/>
  <c r="D63" i="1"/>
  <c r="C62" i="1"/>
  <c r="K62" i="1" s="1"/>
  <c r="C61" i="1"/>
  <c r="K60" i="1"/>
  <c r="K59" i="1"/>
  <c r="C58" i="1"/>
  <c r="K58" i="1" s="1"/>
  <c r="C57" i="1"/>
  <c r="K57" i="1" s="1"/>
  <c r="C56" i="1"/>
  <c r="K56" i="1" s="1"/>
  <c r="C55" i="1"/>
  <c r="K55" i="1" s="1"/>
  <c r="C54" i="1"/>
  <c r="K54" i="1" s="1"/>
  <c r="C53" i="1"/>
  <c r="K53" i="1" s="1"/>
  <c r="C52" i="1"/>
  <c r="K52" i="1" s="1"/>
  <c r="C51" i="1"/>
  <c r="K51" i="1" s="1"/>
  <c r="C50" i="1"/>
  <c r="K50" i="1" s="1"/>
  <c r="C49" i="1"/>
  <c r="K49" i="1" s="1"/>
  <c r="C48" i="1"/>
  <c r="K48" i="1" s="1"/>
  <c r="C47" i="1"/>
  <c r="K47" i="1" s="1"/>
  <c r="C46" i="1"/>
  <c r="K46" i="1" s="1"/>
  <c r="C45" i="1"/>
  <c r="K45" i="1" s="1"/>
  <c r="K44" i="1"/>
  <c r="C43" i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K34" i="1"/>
  <c r="C33" i="1"/>
  <c r="K33" i="1" s="1"/>
  <c r="C32" i="1"/>
  <c r="K32" i="1" s="1"/>
  <c r="J31" i="1"/>
  <c r="I31" i="1"/>
  <c r="H31" i="1"/>
  <c r="G31" i="1"/>
  <c r="F31" i="1"/>
  <c r="E31" i="1"/>
  <c r="D31" i="1"/>
  <c r="K30" i="1"/>
  <c r="K29" i="1"/>
  <c r="C28" i="1"/>
  <c r="C27" i="1"/>
  <c r="C26" i="1"/>
  <c r="C25" i="1"/>
  <c r="K25" i="1" s="1"/>
  <c r="C24" i="1"/>
  <c r="K23" i="1"/>
  <c r="K22" i="1"/>
  <c r="C21" i="1"/>
  <c r="K21" i="1" s="1"/>
  <c r="C20" i="1"/>
  <c r="K20" i="1" s="1"/>
  <c r="K19" i="1"/>
  <c r="C18" i="1"/>
  <c r="K18" i="1" s="1"/>
  <c r="C17" i="1"/>
  <c r="K17" i="1" s="1"/>
  <c r="C16" i="1"/>
  <c r="K16" i="1" s="1"/>
  <c r="C15" i="1"/>
  <c r="K15" i="1" s="1"/>
  <c r="C14" i="1"/>
  <c r="K14" i="1" s="1"/>
  <c r="K13" i="1"/>
  <c r="E12" i="1"/>
  <c r="C12" i="1" s="1"/>
  <c r="K11" i="1"/>
  <c r="E10" i="1"/>
  <c r="C10" i="1" s="1"/>
  <c r="C9" i="1"/>
  <c r="K9" i="1" s="1"/>
  <c r="C8" i="1"/>
  <c r="K8" i="1" s="1"/>
  <c r="K7" i="1"/>
  <c r="J6" i="1"/>
  <c r="I6" i="1"/>
  <c r="H6" i="1"/>
  <c r="G6" i="1"/>
  <c r="F6" i="1"/>
  <c r="D6" i="1"/>
  <c r="G100" i="1" l="1"/>
  <c r="H100" i="1"/>
  <c r="D100" i="1"/>
  <c r="F100" i="1"/>
  <c r="J100" i="1"/>
  <c r="C106" i="1"/>
  <c r="C100" i="1" s="1"/>
  <c r="G5" i="1"/>
  <c r="C136" i="1"/>
  <c r="K136" i="1" s="1"/>
  <c r="I5" i="1"/>
  <c r="C115" i="1"/>
  <c r="K115" i="1" s="1"/>
  <c r="C140" i="1"/>
  <c r="K140" i="1" s="1"/>
  <c r="C119" i="1"/>
  <c r="K119" i="1" s="1"/>
  <c r="D5" i="1"/>
  <c r="K142" i="1"/>
  <c r="E6" i="1"/>
  <c r="E5" i="1" s="1"/>
  <c r="H5" i="1"/>
  <c r="G114" i="1"/>
  <c r="D114" i="1"/>
  <c r="K135" i="1"/>
  <c r="E100" i="1"/>
  <c r="I100" i="1"/>
  <c r="K66" i="1"/>
  <c r="H114" i="1"/>
  <c r="E114" i="1"/>
  <c r="I114" i="1"/>
  <c r="F5" i="1"/>
  <c r="J5" i="1"/>
  <c r="K101" i="1"/>
  <c r="F114" i="1"/>
  <c r="J114" i="1"/>
  <c r="K123" i="1"/>
  <c r="K10" i="1"/>
  <c r="C6" i="1"/>
  <c r="K12" i="1"/>
  <c r="K24" i="1"/>
  <c r="K26" i="1"/>
  <c r="K27" i="1"/>
  <c r="K28" i="1"/>
  <c r="C31" i="1"/>
  <c r="K61" i="1"/>
  <c r="C63" i="1"/>
  <c r="K78" i="1"/>
  <c r="K79" i="1"/>
  <c r="K80" i="1"/>
  <c r="C83" i="1"/>
  <c r="K98" i="1"/>
  <c r="C111" i="1"/>
  <c r="C125" i="1"/>
  <c r="C127" i="1"/>
  <c r="K133" i="1"/>
  <c r="K134" i="1"/>
  <c r="E4" i="1" l="1"/>
  <c r="K106" i="1"/>
  <c r="G4" i="1"/>
  <c r="K100" i="1"/>
  <c r="I4" i="1"/>
  <c r="D4" i="1"/>
  <c r="H4" i="1"/>
  <c r="J4" i="1"/>
  <c r="F4" i="1"/>
  <c r="K6" i="1"/>
  <c r="C5" i="1"/>
  <c r="K127" i="1"/>
  <c r="K111" i="1"/>
  <c r="C110" i="1"/>
  <c r="C114" i="1"/>
  <c r="K125" i="1"/>
  <c r="K63" i="1"/>
  <c r="K83" i="1"/>
  <c r="K31" i="1"/>
  <c r="C4" i="1" l="1"/>
  <c r="K5" i="1"/>
  <c r="K114" i="1"/>
  <c r="K110" i="1"/>
  <c r="K4" i="1" l="1"/>
</calcChain>
</file>

<file path=xl/sharedStrings.xml><?xml version="1.0" encoding="utf-8"?>
<sst xmlns="http://schemas.openxmlformats.org/spreadsheetml/2006/main" count="381" uniqueCount="314">
  <si>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</si>
  <si>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</si>
  <si>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</si>
  <si>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</si>
  <si>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</si>
  <si>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</si>
  <si>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</si>
  <si>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</si>
  <si>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</si>
  <si>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</si>
  <si>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</si>
  <si>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</si>
  <si>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1.01.0.00.0.00.01.0000</t>
  </si>
  <si>
    <t>Dinas Pendidikan</t>
  </si>
  <si>
    <t>PROGRAM PENGELOLAAN PENDIDIKAN</t>
  </si>
  <si>
    <t>1.01.02.2.01</t>
  </si>
  <si>
    <t>Pengelolaan Pendidikan Sekolah Dasar</t>
  </si>
  <si>
    <t>1.01.02.2.01.02</t>
  </si>
  <si>
    <t>Penambahan Ruang Kelas Baru</t>
  </si>
  <si>
    <t>1.01.02.2.01.04</t>
  </si>
  <si>
    <t>Pembangunan Ruang Unit Kesehatan Sekolah</t>
  </si>
  <si>
    <t>1.01.02.2.01.05</t>
  </si>
  <si>
    <t>Pembangunan Perpustakaan Sekolah</t>
  </si>
  <si>
    <t>1.01.02.2.01.06</t>
  </si>
  <si>
    <t>Pembangunan Sarana, Prasarana dan Utilitas Sekolah</t>
  </si>
  <si>
    <t>1.01.02.2.01.08</t>
  </si>
  <si>
    <t>Rehabilitasi Sedang/Berat Ruang Kelas</t>
  </si>
  <si>
    <t>1.01.02.2.01.09</t>
  </si>
  <si>
    <t>Rehabilitasi Sedang/Berat Ruang Guru/Kepala Sekolah/TU</t>
  </si>
  <si>
    <t>1.01.02.2.01.11</t>
  </si>
  <si>
    <t>Rehabilitasi Sedang/Berat Perpustakaan Sekolah</t>
  </si>
  <si>
    <t>disesuaikan dengan pendapatan DAK 2022</t>
  </si>
  <si>
    <t>1.01.02.2.01.12</t>
  </si>
  <si>
    <t>Rehabilitasi Sedang/Berat Sarana, Prasarana dan Utilitas Sekolah</t>
  </si>
  <si>
    <t>1.01.02.2.01.14</t>
  </si>
  <si>
    <t>Pengadaan Mebel Sekolah</t>
  </si>
  <si>
    <t>1.01.02.2.01.15</t>
  </si>
  <si>
    <t>Pengadaan Alat Rumah Tangga Sekolah</t>
  </si>
  <si>
    <t>1.01.02.2.01.16</t>
  </si>
  <si>
    <t>Pengadaan Perlengkapan Sekolah</t>
  </si>
  <si>
    <t>1.01.02.2.01.17</t>
  </si>
  <si>
    <t>Pengadaan Perlengkapan Siswa</t>
  </si>
  <si>
    <t>1.01.02.2.01.18</t>
  </si>
  <si>
    <t>Pemeliharaan Rutin Bangunan Gedung dan Ruangan</t>
  </si>
  <si>
    <t>1.01.02.2.01.19</t>
  </si>
  <si>
    <t>Pemeliharaan Rutin Sarana, Prasarana dan Utilitas Sekolah</t>
  </si>
  <si>
    <t>1.01.02.2.01.21</t>
  </si>
  <si>
    <t>Penyediaan Biaya Personil Peserta Didik Sekolah Dasar</t>
  </si>
  <si>
    <t>1.01.02.2.01.22</t>
  </si>
  <si>
    <t>Pengadaan Alat Praktik dan Peraga Siswa</t>
  </si>
  <si>
    <t>1.01.02.2.01.23</t>
  </si>
  <si>
    <t>Penyelengaraan Proses Belajar dan Ujian bagi Peserta Didik</t>
  </si>
  <si>
    <t>1.01.02.2.01.24</t>
  </si>
  <si>
    <t>Penyiapan dan Tindak Lanjut Evaluasi Satuan Pendidikan Dasar</t>
  </si>
  <si>
    <t>1.01.02.2.01.25</t>
  </si>
  <si>
    <t>Pembinaan Minat, Bakat dan Kreativitas Siswa</t>
  </si>
  <si>
    <t>1.01.02.2.01.26</t>
  </si>
  <si>
    <t>Penyediaan Pendidik dan Tenaga Kependidikan bagi Satuan Pendidikan Sekolah Dasar</t>
  </si>
  <si>
    <t>1.01.02.2.01.27</t>
  </si>
  <si>
    <t>Pengembangan Karir Pendidik dan Tenaga Kependidikan pada Satuan Pendidikan Sekolah Dasar</t>
  </si>
  <si>
    <t>1.01.02.2.01.28</t>
  </si>
  <si>
    <t>Pembinaan Kelembagaan dan Manajemen Sekolah</t>
  </si>
  <si>
    <t>1.01.02.2.01.29</t>
  </si>
  <si>
    <t>Pengelolaan Dana BOS Sekolah Dasar</t>
  </si>
  <si>
    <t>1.01.02.2.01.30</t>
  </si>
  <si>
    <t>Peningkatan Kapasitas Pengelolaan Dana BOS Sekolah Dasar</t>
  </si>
  <si>
    <t>1.01.02.2.02</t>
  </si>
  <si>
    <t>Pengelolaan Pendidikan Sekolah Menengah Pertama</t>
  </si>
  <si>
    <t>1.01.02.2.02.01</t>
  </si>
  <si>
    <t>Pembangunan Unit Sekolah Baru (USB)</t>
  </si>
  <si>
    <t>1.01.02.2.02.02</t>
  </si>
  <si>
    <t>1.01.02.2.02.06</t>
  </si>
  <si>
    <t>Pembangunan Laboratorium</t>
  </si>
  <si>
    <t>1.01.02.2.02.12</t>
  </si>
  <si>
    <t>1.01.02.2.02.14</t>
  </si>
  <si>
    <t>Rehabilitasi Sedang/Berat Ruang Kelas Sekolah</t>
  </si>
  <si>
    <t>1.01.02.2.02.15</t>
  </si>
  <si>
    <t>Rehabilitasi Sedang/Berat Ruang Guru Sekolah</t>
  </si>
  <si>
    <t>1.01.02.2.02.16</t>
  </si>
  <si>
    <t>Rehabilitasi Sedang/Berat Ruang Unit Kesehatan Sekolah</t>
  </si>
  <si>
    <t>1.01.02.2.02.17</t>
  </si>
  <si>
    <t>1.01.02.2.02.18</t>
  </si>
  <si>
    <t>Rehabilitasi Sedang/Berat Laboratorium</t>
  </si>
  <si>
    <t>1.01.02.2.02.22</t>
  </si>
  <si>
    <t>Rehabilitasi Sedang/Berat Fasilitas Parkir</t>
  </si>
  <si>
    <t>1.01.02.2.02.23</t>
  </si>
  <si>
    <t>Rehabilitasi Sedang/Berat Kantin Sekolah</t>
  </si>
  <si>
    <t>1.01.02.2.02.24</t>
  </si>
  <si>
    <t>1.01.02.2.02.25</t>
  </si>
  <si>
    <t>1.01.02.2.02.26</t>
  </si>
  <si>
    <t>1.01.02.2.02.27</t>
  </si>
  <si>
    <t>1.01.02.2.02.28</t>
  </si>
  <si>
    <t>1.01.02.2.02.29</t>
  </si>
  <si>
    <t>1.01.02.2.02.30</t>
  </si>
  <si>
    <t>1.01.02.2.02.32</t>
  </si>
  <si>
    <t>Penyediaan Biaya Personil Peserta Didik Sekolah Menengah Pertama</t>
  </si>
  <si>
    <t>1.01.02.2.02.34</t>
  </si>
  <si>
    <t>Perlengkapan Belajar Peserta Didik</t>
  </si>
  <si>
    <t>1.01.02.2.02.35</t>
  </si>
  <si>
    <t>1.01.02.2.02.36</t>
  </si>
  <si>
    <t>1.01.02.2.02.37</t>
  </si>
  <si>
    <t>Penyiapan dan Tindak Lanjut Evaluasi Satuan Pendidikan Sekolah Menengah Pertama</t>
  </si>
  <si>
    <t>1.01.02.2.02.38</t>
  </si>
  <si>
    <t>1.01.02.2.02.39</t>
  </si>
  <si>
    <t>Penyediaan Pendidik dan Tenaga Kependidikan bagi Satuan Pendidikan Sekolah Menengah Pertama</t>
  </si>
  <si>
    <t>1.01.02.2.02.40</t>
  </si>
  <si>
    <t>Pengembangan Karir Pendidik dan Tenaga Kependidikan pada Satuan Pendidikan Sekolah Menengah Pertama</t>
  </si>
  <si>
    <t>1.01.02.2.02.41</t>
  </si>
  <si>
    <t>1.01.02.2.02.42</t>
  </si>
  <si>
    <t>Pengelolaan Dana BOS Sekolah Menengah Pertama</t>
  </si>
  <si>
    <t>1.01.02.2.02.43</t>
  </si>
  <si>
    <t>Peningkatan Kapasitas Pengelolaan Dana BOS Sekolah Menengah Pertama</t>
  </si>
  <si>
    <t>1.01.02.2.02.44</t>
  </si>
  <si>
    <t>Rehabilitasi Sedang/Berat Ruang TU</t>
  </si>
  <si>
    <t>1.01.02.2.02.45</t>
  </si>
  <si>
    <t>Rehabilitasi Sedang/Berat Ruang Kepala Sekolah</t>
  </si>
  <si>
    <t>1.01.02.2.03</t>
  </si>
  <si>
    <t>Pengelolaan Pendidikan Anak Usia Dini (PAUD)</t>
  </si>
  <si>
    <t>1.01.02.2.03.01</t>
  </si>
  <si>
    <t>Pembangunan Gedung/Ruang Kelas/Ruang Guru PAUD</t>
  </si>
  <si>
    <t>1.01.02.2.03.02</t>
  </si>
  <si>
    <t>Pembangunan Sarana, Prasarana dan Utilitas PAUD</t>
  </si>
  <si>
    <t>1.01.02.2.03.03</t>
  </si>
  <si>
    <t>Rehabilitasi Sedang/Berat Gedung/Ruang Kelas/Ruang Guru PAUD</t>
  </si>
  <si>
    <t>1.01.02.2.03.04</t>
  </si>
  <si>
    <t>Rehabilitasi Sedang/Berat Pembangunan Sarana, Prasarana dan Utilitas PAUD</t>
  </si>
  <si>
    <t>1.01.02.2.03.05</t>
  </si>
  <si>
    <t>Pemeliharaan Rutin Gedung/Ruang Kelas/Ruang Guru PAUD</t>
  </si>
  <si>
    <t>1.01.02.2.03.06</t>
  </si>
  <si>
    <t>Pemeliharaan Rutin Sarana, Prasarana dan Utilitas PAUD</t>
  </si>
  <si>
    <t>1.01.02.2.03.07</t>
  </si>
  <si>
    <t>Pengadaan Mebel PAUD</t>
  </si>
  <si>
    <t>1.01.02.2.03.08</t>
  </si>
  <si>
    <t>Pengadaan Alat Rumah Tangga PAUD</t>
  </si>
  <si>
    <t>1.01.02.2.03.09</t>
  </si>
  <si>
    <t>Pengadaan Perlengkapan PAUD</t>
  </si>
  <si>
    <t>1.01.02.2.03.10</t>
  </si>
  <si>
    <t>Pengadaan Perlengkapan Siswa PAUD</t>
  </si>
  <si>
    <t>1.01.02.2.03.11</t>
  </si>
  <si>
    <t>Penyediaan Biaya Personil Peserta Didik PAUD</t>
  </si>
  <si>
    <t>1.01.02.2.03.12</t>
  </si>
  <si>
    <t>Pengadaan Alat Praktik dan Peraga Siswa PAUD</t>
  </si>
  <si>
    <t>1.01.02.2.03.13</t>
  </si>
  <si>
    <t>Penyelenggaraan Proses Belajar PAUD</t>
  </si>
  <si>
    <t>1.01.02.2.03.14</t>
  </si>
  <si>
    <t>Penyiapan dan Tindak Lanjut Evaluasi Satuan PAUD</t>
  </si>
  <si>
    <t>1.01.02.2.03.15</t>
  </si>
  <si>
    <t>Penyediaan Pendidik dan Tenaga Kependidikan bagi Satuan PAUD</t>
  </si>
  <si>
    <t>1.01.02.2.03.16</t>
  </si>
  <si>
    <t>Pengembangan Karir Pendidik dan Tenaga Kependidikan pada Satuan Pendidikan PAUD</t>
  </si>
  <si>
    <t>1.01.02.2.03.17</t>
  </si>
  <si>
    <t>Pembinaan Kelembagaan dan Manajemen PAUD</t>
  </si>
  <si>
    <t>1.01.02.2.03.18</t>
  </si>
  <si>
    <t>Pengelolaan Dana BOP PAUD</t>
  </si>
  <si>
    <t>1.01.02.2.03.19</t>
  </si>
  <si>
    <t>Peningkatan Kapasitas Pengelolaan Dana BOP PAUD</t>
  </si>
  <si>
    <t>1.01.02.2.04</t>
  </si>
  <si>
    <t>Pengelolaan Pendidikan Nonformal/Kesetaraan</t>
  </si>
  <si>
    <t>1.01.02.2.04.01</t>
  </si>
  <si>
    <t>Pembangunan Gedung/Ruang Kelas/Ruang Guru Nonformal/Kesetaraan</t>
  </si>
  <si>
    <t>1.01.02.2.04.02</t>
  </si>
  <si>
    <t>Pembangunan Sarana, Prasarana dan Utilitas Sekolah Nonformal/Kesetaraan</t>
  </si>
  <si>
    <t>1.01.02.2.04.03</t>
  </si>
  <si>
    <t>Rehabilitasi Sedang/Berat Gedung/Ruang Kelas/Ruang Guru Pendidikan Nonformal/Kesetaraan</t>
  </si>
  <si>
    <t>1.01.02.2.04.05</t>
  </si>
  <si>
    <t>Pemeliharaan Rutin Gedung/Ruang Kelas/Ruang Guru Pendidikan Nonformal/Kesetaraan</t>
  </si>
  <si>
    <t>1.01.02.2.04.07</t>
  </si>
  <si>
    <t>Pengadaan Mebel Pendidikan Nonformal/Kesetaraan</t>
  </si>
  <si>
    <t>1.01.02.2.04.08</t>
  </si>
  <si>
    <t>Pengadaan Alat Rumah Tangga Pendidikan Nonformal/Kesetaraan</t>
  </si>
  <si>
    <t>1.01.02.2.04.09</t>
  </si>
  <si>
    <t>Pengadaan Perlengkapan Pendidikan Nonformal/Kesetaraan</t>
  </si>
  <si>
    <t>1.01.02.2.04.10</t>
  </si>
  <si>
    <t>Penyediaan Biaya Personil Peserta Didik Nonformal/Kesetaraan</t>
  </si>
  <si>
    <t>1.01.02.2.04.11</t>
  </si>
  <si>
    <t>Pengadaan Alat Praktik dan Peraga Siswa Nonformal/Kesetaraan</t>
  </si>
  <si>
    <t>1.01.02.2.04.12</t>
  </si>
  <si>
    <t>Penyelenggaraan Proses Belajar Nonformal/Kesetaraan</t>
  </si>
  <si>
    <t>1.01.02.2.04.13</t>
  </si>
  <si>
    <t>Penyiapan dan Tindak Lanjut Evaluasi Satuan Pendidikan di Pendidikan Nonformal/Kesetaraan</t>
  </si>
  <si>
    <t>1.01.02.2.04.14</t>
  </si>
  <si>
    <t>Penyediaan Pendidik dan Tenaga Kependidikan bagi Satuan Pendidikan Nonformal/Kesetaraan</t>
  </si>
  <si>
    <t>1.01.02.2.04.15</t>
  </si>
  <si>
    <t>Pengembangan Karir Pendidik dan Tenaga Kependidikan pada Satuan Pendidikan Nonformal/Kesetaraan</t>
  </si>
  <si>
    <t>1.01.02.2.04.16</t>
  </si>
  <si>
    <t>Pembinaan Kelembagaan dan Manajemen Sekolah Nonformal/Kesetaraan</t>
  </si>
  <si>
    <t>1.01.02.2.04.17</t>
  </si>
  <si>
    <t>Pengelolaan Dana BOP Sekolah Nonformal/Kesetaraan</t>
  </si>
  <si>
    <t>1.01.02.2.04.18</t>
  </si>
  <si>
    <t>Peningkatan Kapasitas Pengelolaan Dana BOP Sekolah Nonformal/Kesetaraan</t>
  </si>
  <si>
    <t>PROGRAM PENGEMBANGAN KURIKULUM</t>
  </si>
  <si>
    <t>1.01.03.2.01</t>
  </si>
  <si>
    <t>Penetapan Kurikulum Muatan Lokal Pendidikan Dasar</t>
  </si>
  <si>
    <t>1.01.03.2.01.01</t>
  </si>
  <si>
    <t>Penyusunan Kompetensi Dasar Muatan Lokal Pendidikan Dasar</t>
  </si>
  <si>
    <t>1.01.03.2.01.02</t>
  </si>
  <si>
    <t>Penyusunan Silabus Muatan Lokal Pendidikan Dasar</t>
  </si>
  <si>
    <t>1.01.03.2.01.03</t>
  </si>
  <si>
    <t>Penyediaan Buku Teks Pelajaran Muatan Lokal Pendidikan Dasar</t>
  </si>
  <si>
    <t>1.01.03.2.01.04</t>
  </si>
  <si>
    <t>Pelatihan Penyusunan Kurikulum Muatan Lokal Pendidikan Dasar</t>
  </si>
  <si>
    <t>1.01.03.2.02</t>
  </si>
  <si>
    <t>Penetapan Kurikulum Muatan Lokal Pendidikan Anak Usia Dini dan Pendidikan Nonformal</t>
  </si>
  <si>
    <t>1.01.03.2.02.01</t>
  </si>
  <si>
    <t>Penyusunan Kompetensi Dasar Muatan Lokal Pendidikan Anak Usia Dini dan Pendidikan Nonformal</t>
  </si>
  <si>
    <t>1.01.03.2.02.02</t>
  </si>
  <si>
    <t>Penyusunan Silabus Muatan Lokal Pendidikan Anak Usia Dini dan Pendidikan Nonformal</t>
  </si>
  <si>
    <t>1.01.03.2.02.03</t>
  </si>
  <si>
    <t>Penyediaan Buku Teks Pelajaran Muatan Lokal Pendidikan Anak Usia Dini dan Pendidikan Nonformal</t>
  </si>
  <si>
    <t>PROGRAM PENDIDIK DAN TENAGA KEPENDIDIKAN</t>
  </si>
  <si>
    <t>1.01.04.2.01</t>
  </si>
  <si>
    <t>Pemerataan Kuantitas dan Kualitas Pendidik dan Tenaga Kependidikan bagi Satuan Pendidikan Dasar, PAUD, dan Pendidikan Nonformal/Kesetaraan</t>
  </si>
  <si>
    <t>1.01.04.2.01.01</t>
  </si>
  <si>
    <t>Perhitungan dan Pemetaan Pendidik dan Tenaga Kependidikan Satuan Pendidikan Dasar, PAUD, dan Pendidikan Nonformal/Kesetaraan</t>
  </si>
  <si>
    <t>1.01.04.2.01.02</t>
  </si>
  <si>
    <t>Penataan Pendistribusian Pendidik dan Tenaga Kependidikan bagi Satuan Pendidikan Dasar, PAUD, dan Pendidikan Nonformal/Kesetaraan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</si>
  <si>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</si>
  <si>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</si>
  <si>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</si>
  <si>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</si>
  <si>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</si>
  <si>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</si>
  <si>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</si>
  <si>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</si>
  <si>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</si>
  <si>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</si>
  <si>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</si>
  <si>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</si>
  <si>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</si>
  <si>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</si>
  <si>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</si>
  <si>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</si>
  <si>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</si>
  <si>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</si>
  <si>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X.XX.01.2.03</t>
  </si>
  <si>
    <t>Administrasi Barang Milik Daerah pada Perangkat Daerah</t>
  </si>
  <si>
    <t>X.XX.01.2.03.05</t>
  </si>
  <si>
    <t>Rekonsiliasi dan Penyusunan Laporan Barang Milik Daerah pada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</si>
  <si>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</si>
  <si>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</si>
  <si>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</si>
  <si>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</si>
  <si>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</si>
  <si>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</si>
  <si>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</si>
  <si>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</si>
  <si>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</si>
  <si>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</si>
  <si>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</si>
  <si>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</si>
  <si>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</si>
  <si>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</si>
  <si>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</si>
  <si>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</si>
  <si>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</si>
  <si>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</si>
  <si>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</si>
  <si>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</si>
  <si>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X.XX.01.2.06.11</t>
  </si>
  <si>
    <t>Dukungan Pelaksanaan Sistem Pemerintahan Berbasis Elektronik pada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</si>
  <si>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</si>
  <si>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</si>
  <si>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</si>
  <si>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</si>
  <si>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</si>
  <si>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</si>
  <si>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</si>
  <si>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</si>
  <si>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</si>
  <si>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</si>
  <si>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</si>
  <si>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</si>
  <si>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</si>
  <si>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</si>
  <si>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</si>
  <si>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</si>
  <si>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Penyesuaian DINDIK</t>
  </si>
  <si>
    <t xml:space="preserve"> belum ada lokasi --&gt; Drop</t>
  </si>
  <si>
    <t>hanya dari DAK</t>
  </si>
  <si>
    <t>penyesuaian DINDIK</t>
  </si>
  <si>
    <t>disamakan dengan penetapan 2022</t>
  </si>
  <si>
    <t>biaya personil peserta didik drop</t>
  </si>
  <si>
    <t>didrop</t>
  </si>
  <si>
    <t>lokasi belum ada, drop</t>
  </si>
  <si>
    <t>2M utk Pembangunan gedung SMP 6</t>
  </si>
  <si>
    <t>Asumsi Bankeu sama dengan 2022
APBD drop</t>
  </si>
  <si>
    <t>drop</t>
  </si>
  <si>
    <t>disesuaikan dengan pendapatan DAK 2022
APBD drop</t>
  </si>
  <si>
    <t>disesuaikan dengan pendapatan DAK 2022
APBD 200jt</t>
  </si>
  <si>
    <t>disesuaikan dengan pendapatan DAK 2022
Usulan Musren: 
Perbaikan PAUD Kenanga RT. 02 RW. 11 dan Sarpras - 1 Paket (100Juta)</t>
  </si>
  <si>
    <t>disesuaikan dengan pendapatan DAK 2022
penyesuaian DINDIK</t>
  </si>
  <si>
    <t>disesuaikan dengan pendapatan DAK 2022
Penyesuaian DINDIK</t>
  </si>
  <si>
    <t>diseragamkan</t>
  </si>
  <si>
    <t>Asumsi Bankeu sama dengan 2022
Penyesuaian DINDIK</t>
  </si>
  <si>
    <t>Ranc Akhir RKPD 2023</t>
  </si>
  <si>
    <t>BTQ untuk 10 bulan</t>
  </si>
  <si>
    <t>sdh termasuk mengakomodir kebutuhan siswa ABK</t>
  </si>
  <si>
    <t>SPM, perlengkapan belajar untuk 2000  siswa, Rp 100.000 per siswa</t>
  </si>
  <si>
    <t>71 SD, asumsi @ 10 juta</t>
  </si>
  <si>
    <t xml:space="preserve">mengakomodir indikator fasilitasi sekolah inklusi </t>
  </si>
  <si>
    <t>RAPBS/ RKAS BOS, EDS</t>
  </si>
  <si>
    <t>termasuk untuk pelatihan batik, dan fasilitasi sekolah penggerak, PMO dan pengimbasan
indikator dan belanja sosialisasi dapodik di dialihkan ke SPBE</t>
  </si>
  <si>
    <t>diasumsikan 17 sekolah @ 10 jt
pada th 2022 sdh ada perngadaan LCD projector dan printer,</t>
  </si>
  <si>
    <t>di dalamnya mengakomodir indikator fasilitasi pendidikan inklusi</t>
  </si>
  <si>
    <t>1 orang guru pendamping khusus x 12 bulan
93 guru BTQ x 12 bulan</t>
  </si>
  <si>
    <t xml:space="preserve">termasuk indikator untuk fasilitasi sekolah penggerak
</t>
  </si>
  <si>
    <t>utk perlengkapan belajar siswa PAUD guna pemenuhan SPM</t>
  </si>
  <si>
    <t>termasuk untuk fasilitasi sekolah penggerak</t>
  </si>
  <si>
    <t>utk perlengkapan belajar siswa, pemenuhan SPM</t>
  </si>
  <si>
    <t>sdh termasuk utk gudang arsip, perbaikan ruang genset dan perluasan ruang sidang</t>
  </si>
  <si>
    <t>Rehab PAUD Kenanga sudah dianggarkan di sub keg. Rehabilitasi Sedang/Berat Gedung/Ruang Kelas/Ruang Guru PAUD (100 Juta) mengakomodir usulan musrenbang</t>
  </si>
  <si>
    <t>30Juta untuk Rakor dengan tenaga pendidik (200 orang, 1 hari) ASB 12 --&gt; 29,2Juta, 50 Juta untuk Hibah Dewan Pendidikan</t>
  </si>
  <si>
    <t xml:space="preserve">Harlindung 12 bulan </t>
  </si>
  <si>
    <t>kenaikan BBM 8.448.000 (Asumsi kenaikan BBM 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</si>
</sst>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3" fontId="2" fillId="9" borderId="4" xfId="0" applyNumberFormat="1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 wrapText="1"/>
    </xf>
    <xf numFmtId="3" fontId="1" fillId="4" borderId="5" xfId="0" applyNumberFormat="1" applyFont="1" applyFill="1" applyBorder="1" applyAlignment="1">
      <alignment vertical="top"/>
    </xf>
    <xf numFmtId="3" fontId="1" fillId="4" borderId="5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43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" sqref="B1:B2"/>
    </sheetView>
  </sheetViews>
  <sheetFormatPr defaultColWidth="8.58203125" defaultRowHeight="15.5" outlineLevelRow="3" outlineLevelCol="1" x14ac:dyDescent="0.4"/>
  <cols>
    <col min="1" max="1" width="25" style="23" customWidth="1"/>
    <col min="2" max="2" width="42.5" style="21" customWidth="1"/>
    <col min="3" max="3" width="16.83203125" style="1" customWidth="1" outlineLevel="1"/>
    <col min="4" max="10" width="15.5" style="1" customWidth="1" outlineLevel="1"/>
    <col min="11" max="11" width="20.58203125" style="22" customWidth="1"/>
    <col min="12" max="12" width="47.75" style="21" customWidth="1"/>
    <col min="13" max="16384" width="8.58203125" style="1"/>
  </cols>
  <sheetData>
    <row r="1" spans="1:12" ht="24.5" customHeight="1" x14ac:dyDescent="0.4">
      <c r="A1" s="34" t="s">
        <v>0</v>
      </c>
      <c r="B1" s="34" t="s">
        <v>1</v>
      </c>
      <c r="C1" s="33" t="s">
        <v>294</v>
      </c>
      <c r="D1" s="33"/>
      <c r="E1" s="33"/>
      <c r="F1" s="33"/>
      <c r="G1" s="33"/>
      <c r="H1" s="33"/>
      <c r="I1" s="33"/>
      <c r="J1" s="33"/>
      <c r="K1" s="33"/>
      <c r="L1" s="31" t="s">
        <v>2</v>
      </c>
    </row>
    <row r="2" spans="1:12" s="4" customFormat="1" ht="31" x14ac:dyDescent="0.3">
      <c r="A2" s="34"/>
      <c r="B2" s="34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2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5" t="s">
        <v>12</v>
      </c>
      <c r="B4" s="26" t="s">
        <v>13</v>
      </c>
      <c r="C4" s="27">
        <f t="shared" ref="C4:J4" si="0">SUM(C5,C100,C110,C114)</f>
        <v>135876054000</v>
      </c>
      <c r="D4" s="27">
        <f t="shared" si="0"/>
        <v>130000000</v>
      </c>
      <c r="E4" s="27">
        <f t="shared" si="0"/>
        <v>109721225000</v>
      </c>
      <c r="F4" s="27">
        <f t="shared" si="0"/>
        <v>0</v>
      </c>
      <c r="G4" s="27">
        <f t="shared" si="0"/>
        <v>0</v>
      </c>
      <c r="H4" s="27">
        <f t="shared" si="0"/>
        <v>30000000</v>
      </c>
      <c r="I4" s="27">
        <f t="shared" si="0"/>
        <v>0</v>
      </c>
      <c r="J4" s="27">
        <f t="shared" si="0"/>
        <v>100000000</v>
      </c>
      <c r="K4" s="27">
        <f>SUM(C4:J4)</f>
        <v>245857279000</v>
      </c>
      <c r="L4" s="28"/>
    </row>
    <row r="5" spans="1:12" outlineLevel="1" x14ac:dyDescent="0.4">
      <c r="A5" s="9">
        <v>4.238425925925926E-2</v>
      </c>
      <c r="B5" s="10" t="s">
        <v>14</v>
      </c>
      <c r="C5" s="11">
        <f t="shared" ref="C5:J5" si="1">SUM(C6,C31,C63,C83)</f>
        <v>11070097000</v>
      </c>
      <c r="D5" s="11">
        <f t="shared" si="1"/>
        <v>90000000</v>
      </c>
      <c r="E5" s="11">
        <f t="shared" si="1"/>
        <v>60868683000</v>
      </c>
      <c r="F5" s="11">
        <f t="shared" si="1"/>
        <v>0</v>
      </c>
      <c r="G5" s="11">
        <f t="shared" si="1"/>
        <v>0</v>
      </c>
      <c r="H5" s="11">
        <f t="shared" si="1"/>
        <v>0</v>
      </c>
      <c r="I5" s="11">
        <f t="shared" si="1"/>
        <v>0</v>
      </c>
      <c r="J5" s="11">
        <f t="shared" si="1"/>
        <v>100000000</v>
      </c>
      <c r="K5" s="11">
        <f t="shared" ref="K5:K68" si="2">SUM(C5:J5)</f>
        <v>72128780000</v>
      </c>
      <c r="L5" s="12"/>
    </row>
    <row r="6" spans="1:12" outlineLevel="2" x14ac:dyDescent="0.4">
      <c r="A6" s="13" t="s">
        <v>15</v>
      </c>
      <c r="B6" s="14" t="s">
        <v>16</v>
      </c>
      <c r="C6" s="15">
        <f t="shared" ref="C6:J6" si="3">SUM(C7:C30)</f>
        <v>4879955000</v>
      </c>
      <c r="D6" s="15">
        <f t="shared" si="3"/>
        <v>0</v>
      </c>
      <c r="E6" s="15">
        <f t="shared" si="3"/>
        <v>30032541000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2"/>
        <v>34912496000</v>
      </c>
      <c r="L6" s="16"/>
    </row>
    <row r="7" spans="1:12" outlineLevel="3" x14ac:dyDescent="0.4">
      <c r="A7" s="17" t="s">
        <v>17</v>
      </c>
      <c r="B7" s="18" t="s">
        <v>18</v>
      </c>
      <c r="C7" s="19"/>
      <c r="D7" s="19"/>
      <c r="E7" s="19"/>
      <c r="F7" s="19"/>
      <c r="G7" s="19"/>
      <c r="H7" s="19"/>
      <c r="I7" s="19"/>
      <c r="J7" s="19"/>
      <c r="K7" s="19">
        <f t="shared" si="2"/>
        <v>0</v>
      </c>
      <c r="L7" s="20"/>
    </row>
    <row r="8" spans="1:12" outlineLevel="3" x14ac:dyDescent="0.4">
      <c r="A8" s="17" t="s">
        <v>19</v>
      </c>
      <c r="B8" s="18" t="s">
        <v>20</v>
      </c>
      <c r="C8" s="19">
        <f>376000000-376000000</f>
        <v>0</v>
      </c>
      <c r="D8" s="19"/>
      <c r="E8" s="19"/>
      <c r="F8" s="19"/>
      <c r="G8" s="19"/>
      <c r="H8" s="19"/>
      <c r="I8" s="19"/>
      <c r="J8" s="19"/>
      <c r="K8" s="19">
        <f t="shared" si="2"/>
        <v>0</v>
      </c>
      <c r="L8" s="20" t="s">
        <v>276</v>
      </c>
    </row>
    <row r="9" spans="1:12" outlineLevel="3" x14ac:dyDescent="0.4">
      <c r="A9" s="17" t="s">
        <v>21</v>
      </c>
      <c r="B9" s="18" t="s">
        <v>22</v>
      </c>
      <c r="C9" s="19">
        <f>2000000000-2000000000</f>
        <v>0</v>
      </c>
      <c r="D9" s="19"/>
      <c r="E9" s="19"/>
      <c r="F9" s="19"/>
      <c r="G9" s="19"/>
      <c r="H9" s="19"/>
      <c r="I9" s="19"/>
      <c r="J9" s="19"/>
      <c r="K9" s="19">
        <f t="shared" si="2"/>
        <v>0</v>
      </c>
      <c r="L9" s="20" t="s">
        <v>277</v>
      </c>
    </row>
    <row r="10" spans="1:12" ht="31" outlineLevel="3" x14ac:dyDescent="0.4">
      <c r="A10" s="17" t="s">
        <v>23</v>
      </c>
      <c r="B10" s="18" t="s">
        <v>24</v>
      </c>
      <c r="C10" s="19">
        <f>1373000000-E10-855000000</f>
        <v>0</v>
      </c>
      <c r="D10" s="19"/>
      <c r="E10" s="19">
        <f>518000000</f>
        <v>518000000</v>
      </c>
      <c r="F10" s="19"/>
      <c r="G10" s="19"/>
      <c r="H10" s="19"/>
      <c r="I10" s="19"/>
      <c r="J10" s="19"/>
      <c r="K10" s="19">
        <f t="shared" si="2"/>
        <v>518000000</v>
      </c>
      <c r="L10" s="20" t="s">
        <v>278</v>
      </c>
    </row>
    <row r="11" spans="1:12" outlineLevel="3" x14ac:dyDescent="0.4">
      <c r="A11" s="17" t="s">
        <v>25</v>
      </c>
      <c r="B11" s="18" t="s">
        <v>26</v>
      </c>
      <c r="C11" s="19">
        <v>0</v>
      </c>
      <c r="D11" s="19"/>
      <c r="E11" s="19">
        <v>6500000000</v>
      </c>
      <c r="F11" s="19"/>
      <c r="G11" s="19"/>
      <c r="H11" s="19"/>
      <c r="I11" s="19"/>
      <c r="J11" s="19"/>
      <c r="K11" s="19">
        <f t="shared" si="2"/>
        <v>6500000000</v>
      </c>
      <c r="L11" s="20"/>
    </row>
    <row r="12" spans="1:12" ht="31" outlineLevel="3" x14ac:dyDescent="0.4">
      <c r="A12" s="17" t="s">
        <v>27</v>
      </c>
      <c r="B12" s="18" t="s">
        <v>28</v>
      </c>
      <c r="C12" s="19">
        <f>880000000-E12-508670000</f>
        <v>0</v>
      </c>
      <c r="D12" s="19"/>
      <c r="E12" s="19">
        <f>128400000+242930000</f>
        <v>371330000</v>
      </c>
      <c r="F12" s="19"/>
      <c r="G12" s="19"/>
      <c r="H12" s="19"/>
      <c r="I12" s="19"/>
      <c r="J12" s="19"/>
      <c r="K12" s="19">
        <f t="shared" si="2"/>
        <v>371330000</v>
      </c>
      <c r="L12" s="20" t="s">
        <v>278</v>
      </c>
    </row>
    <row r="13" spans="1:12" ht="31" outlineLevel="3" x14ac:dyDescent="0.4">
      <c r="A13" s="17" t="s">
        <v>29</v>
      </c>
      <c r="B13" s="18" t="s">
        <v>30</v>
      </c>
      <c r="C13" s="19">
        <v>0</v>
      </c>
      <c r="D13" s="19"/>
      <c r="E13" s="19">
        <v>2000000000</v>
      </c>
      <c r="F13" s="19"/>
      <c r="G13" s="19"/>
      <c r="H13" s="19"/>
      <c r="I13" s="19"/>
      <c r="J13" s="19"/>
      <c r="K13" s="19">
        <f t="shared" si="2"/>
        <v>2000000000</v>
      </c>
      <c r="L13" s="20" t="s">
        <v>31</v>
      </c>
    </row>
    <row r="14" spans="1:12" ht="31" outlineLevel="3" x14ac:dyDescent="0.4">
      <c r="A14" s="17" t="s">
        <v>32</v>
      </c>
      <c r="B14" s="18" t="s">
        <v>33</v>
      </c>
      <c r="C14" s="19">
        <f>476000000-176000000-150000000</f>
        <v>150000000</v>
      </c>
      <c r="D14" s="19"/>
      <c r="E14" s="19">
        <v>116592000</v>
      </c>
      <c r="F14" s="19"/>
      <c r="G14" s="19"/>
      <c r="H14" s="19"/>
      <c r="I14" s="19"/>
      <c r="J14" s="19"/>
      <c r="K14" s="19">
        <f t="shared" si="2"/>
        <v>266592000</v>
      </c>
      <c r="L14" s="20" t="s">
        <v>31</v>
      </c>
    </row>
    <row r="15" spans="1:12" outlineLevel="3" x14ac:dyDescent="0.4">
      <c r="A15" s="17" t="s">
        <v>34</v>
      </c>
      <c r="B15" s="18" t="s">
        <v>35</v>
      </c>
      <c r="C15" s="19">
        <f>700000000-500000000-200000000</f>
        <v>0</v>
      </c>
      <c r="D15" s="19"/>
      <c r="E15" s="19"/>
      <c r="F15" s="19"/>
      <c r="G15" s="19"/>
      <c r="H15" s="19"/>
      <c r="I15" s="19"/>
      <c r="J15" s="19"/>
      <c r="K15" s="19">
        <f t="shared" si="2"/>
        <v>0</v>
      </c>
      <c r="L15" s="20" t="s">
        <v>279</v>
      </c>
    </row>
    <row r="16" spans="1:12" outlineLevel="3" x14ac:dyDescent="0.4">
      <c r="A16" s="17" t="s">
        <v>36</v>
      </c>
      <c r="B16" s="18" t="s">
        <v>37</v>
      </c>
      <c r="C16" s="19">
        <f>177500000-88750000</f>
        <v>88750000</v>
      </c>
      <c r="D16" s="19"/>
      <c r="E16" s="19"/>
      <c r="F16" s="19"/>
      <c r="G16" s="19"/>
      <c r="H16" s="19"/>
      <c r="I16" s="19"/>
      <c r="J16" s="19"/>
      <c r="K16" s="19">
        <f t="shared" si="2"/>
        <v>88750000</v>
      </c>
      <c r="L16" s="20" t="s">
        <v>280</v>
      </c>
    </row>
    <row r="17" spans="1:12" outlineLevel="3" x14ac:dyDescent="0.4">
      <c r="A17" s="17" t="s">
        <v>38</v>
      </c>
      <c r="B17" s="18" t="s">
        <v>39</v>
      </c>
      <c r="C17" s="19">
        <f>355000000-211350000</f>
        <v>143650000</v>
      </c>
      <c r="D17" s="19"/>
      <c r="E17" s="19"/>
      <c r="F17" s="19"/>
      <c r="G17" s="19"/>
      <c r="H17" s="19"/>
      <c r="I17" s="19"/>
      <c r="J17" s="19"/>
      <c r="K17" s="19">
        <f t="shared" si="2"/>
        <v>143650000</v>
      </c>
      <c r="L17" s="20" t="s">
        <v>296</v>
      </c>
    </row>
    <row r="18" spans="1:12" ht="31" outlineLevel="3" x14ac:dyDescent="0.4">
      <c r="A18" s="17" t="s">
        <v>40</v>
      </c>
      <c r="B18" s="18" t="s">
        <v>41</v>
      </c>
      <c r="C18" s="19">
        <f>305330000-143155000+43155000</f>
        <v>205330000</v>
      </c>
      <c r="D18" s="19"/>
      <c r="E18" s="19"/>
      <c r="F18" s="19"/>
      <c r="G18" s="19"/>
      <c r="H18" s="19"/>
      <c r="I18" s="19"/>
      <c r="J18" s="19"/>
      <c r="K18" s="19">
        <f t="shared" si="2"/>
        <v>205330000</v>
      </c>
      <c r="L18" s="20" t="s">
        <v>297</v>
      </c>
    </row>
    <row r="19" spans="1:12" ht="31" outlineLevel="3" x14ac:dyDescent="0.4">
      <c r="A19" s="17" t="s">
        <v>42</v>
      </c>
      <c r="B19" s="18" t="s">
        <v>43</v>
      </c>
      <c r="C19" s="19">
        <v>710000000</v>
      </c>
      <c r="D19" s="19"/>
      <c r="E19" s="19"/>
      <c r="F19" s="19"/>
      <c r="G19" s="19"/>
      <c r="H19" s="19"/>
      <c r="I19" s="19"/>
      <c r="J19" s="19"/>
      <c r="K19" s="19">
        <f t="shared" si="2"/>
        <v>710000000</v>
      </c>
      <c r="L19" s="29" t="s">
        <v>298</v>
      </c>
    </row>
    <row r="20" spans="1:12" ht="31" outlineLevel="3" x14ac:dyDescent="0.4">
      <c r="A20" s="17" t="s">
        <v>44</v>
      </c>
      <c r="B20" s="18" t="s">
        <v>45</v>
      </c>
      <c r="C20" s="19">
        <f>106500000-55825000</f>
        <v>50675000</v>
      </c>
      <c r="D20" s="19"/>
      <c r="E20" s="19"/>
      <c r="F20" s="19"/>
      <c r="G20" s="19"/>
      <c r="H20" s="19"/>
      <c r="I20" s="19"/>
      <c r="J20" s="19"/>
      <c r="K20" s="19">
        <f t="shared" si="2"/>
        <v>50675000</v>
      </c>
      <c r="L20" s="20" t="s">
        <v>280</v>
      </c>
    </row>
    <row r="21" spans="1:12" ht="31" outlineLevel="3" x14ac:dyDescent="0.4">
      <c r="A21" s="17" t="s">
        <v>46</v>
      </c>
      <c r="B21" s="18" t="s">
        <v>47</v>
      </c>
      <c r="C21" s="19">
        <f>3405000000-3405000000</f>
        <v>0</v>
      </c>
      <c r="D21" s="19"/>
      <c r="E21" s="19"/>
      <c r="F21" s="19"/>
      <c r="G21" s="19"/>
      <c r="H21" s="19"/>
      <c r="I21" s="19"/>
      <c r="J21" s="19"/>
      <c r="K21" s="19">
        <f t="shared" si="2"/>
        <v>0</v>
      </c>
      <c r="L21" s="20" t="s">
        <v>281</v>
      </c>
    </row>
    <row r="22" spans="1:12" outlineLevel="3" x14ac:dyDescent="0.4">
      <c r="A22" s="17" t="s">
        <v>48</v>
      </c>
      <c r="B22" s="18" t="s">
        <v>49</v>
      </c>
      <c r="C22" s="19">
        <v>0</v>
      </c>
      <c r="D22" s="19"/>
      <c r="E22" s="19">
        <v>2156305000</v>
      </c>
      <c r="F22" s="19"/>
      <c r="G22" s="19"/>
      <c r="H22" s="19"/>
      <c r="I22" s="19"/>
      <c r="J22" s="19"/>
      <c r="K22" s="19">
        <f t="shared" si="2"/>
        <v>2156305000</v>
      </c>
      <c r="L22" s="20" t="s">
        <v>31</v>
      </c>
    </row>
    <row r="23" spans="1:12" ht="31" outlineLevel="3" x14ac:dyDescent="0.4">
      <c r="A23" s="17" t="s">
        <v>50</v>
      </c>
      <c r="B23" s="18" t="s">
        <v>51</v>
      </c>
      <c r="C23" s="19">
        <v>306000000</v>
      </c>
      <c r="D23" s="19"/>
      <c r="E23" s="19"/>
      <c r="F23" s="19"/>
      <c r="G23" s="19"/>
      <c r="H23" s="19"/>
      <c r="I23" s="19"/>
      <c r="J23" s="19"/>
      <c r="K23" s="19">
        <f t="shared" si="2"/>
        <v>306000000</v>
      </c>
      <c r="L23" s="20" t="s">
        <v>299</v>
      </c>
    </row>
    <row r="24" spans="1:12" ht="31" outlineLevel="3" x14ac:dyDescent="0.4">
      <c r="A24" s="17" t="s">
        <v>52</v>
      </c>
      <c r="B24" s="18" t="s">
        <v>53</v>
      </c>
      <c r="C24" s="19">
        <f>142000000-17000000</f>
        <v>125000000</v>
      </c>
      <c r="D24" s="19"/>
      <c r="E24" s="19"/>
      <c r="F24" s="19"/>
      <c r="G24" s="19"/>
      <c r="H24" s="19"/>
      <c r="I24" s="19"/>
      <c r="J24" s="19"/>
      <c r="K24" s="19">
        <f t="shared" si="2"/>
        <v>125000000</v>
      </c>
      <c r="L24" s="20" t="s">
        <v>300</v>
      </c>
    </row>
    <row r="25" spans="1:12" outlineLevel="3" x14ac:dyDescent="0.4">
      <c r="A25" s="17" t="s">
        <v>54</v>
      </c>
      <c r="B25" s="18" t="s">
        <v>55</v>
      </c>
      <c r="C25" s="19">
        <f>580000000-150000000</f>
        <v>430000000</v>
      </c>
      <c r="D25" s="19"/>
      <c r="E25" s="19"/>
      <c r="F25" s="19"/>
      <c r="G25" s="19"/>
      <c r="H25" s="19"/>
      <c r="I25" s="19"/>
      <c r="J25" s="19"/>
      <c r="K25" s="19">
        <f t="shared" si="2"/>
        <v>430000000</v>
      </c>
      <c r="L25" s="20" t="s">
        <v>280</v>
      </c>
    </row>
    <row r="26" spans="1:12" ht="31" outlineLevel="3" x14ac:dyDescent="0.4">
      <c r="A26" s="17" t="s">
        <v>56</v>
      </c>
      <c r="B26" s="18" t="s">
        <v>57</v>
      </c>
      <c r="C26" s="19">
        <f>2667925500+110424500-422000000</f>
        <v>2356350000</v>
      </c>
      <c r="D26" s="19"/>
      <c r="E26" s="19"/>
      <c r="F26" s="19"/>
      <c r="G26" s="19"/>
      <c r="H26" s="19"/>
      <c r="I26" s="19"/>
      <c r="J26" s="19"/>
      <c r="K26" s="19">
        <f t="shared" si="2"/>
        <v>2356350000</v>
      </c>
      <c r="L26" s="24" t="s">
        <v>295</v>
      </c>
    </row>
    <row r="27" spans="1:12" ht="46.5" outlineLevel="3" x14ac:dyDescent="0.4">
      <c r="A27" s="17" t="s">
        <v>58</v>
      </c>
      <c r="B27" s="18" t="s">
        <v>59</v>
      </c>
      <c r="C27" s="19">
        <f>7100000-7100000</f>
        <v>0</v>
      </c>
      <c r="D27" s="19"/>
      <c r="E27" s="19"/>
      <c r="F27" s="19"/>
      <c r="G27" s="19"/>
      <c r="H27" s="19"/>
      <c r="I27" s="19"/>
      <c r="J27" s="19"/>
      <c r="K27" s="19">
        <f t="shared" si="2"/>
        <v>0</v>
      </c>
      <c r="L27" s="20" t="s">
        <v>282</v>
      </c>
    </row>
    <row r="28" spans="1:12" ht="62" outlineLevel="3" x14ac:dyDescent="0.4">
      <c r="A28" s="17" t="s">
        <v>60</v>
      </c>
      <c r="B28" s="18" t="s">
        <v>61</v>
      </c>
      <c r="C28" s="19">
        <f>303500000-47300000+81800000-81800000</f>
        <v>256200000</v>
      </c>
      <c r="D28" s="19"/>
      <c r="E28" s="19"/>
      <c r="F28" s="19"/>
      <c r="G28" s="19"/>
      <c r="H28" s="19"/>
      <c r="I28" s="19"/>
      <c r="J28" s="19"/>
      <c r="K28" s="19">
        <f t="shared" si="2"/>
        <v>256200000</v>
      </c>
      <c r="L28" s="30" t="s">
        <v>301</v>
      </c>
    </row>
    <row r="29" spans="1:12" outlineLevel="3" x14ac:dyDescent="0.4">
      <c r="A29" s="17" t="s">
        <v>62</v>
      </c>
      <c r="B29" s="18" t="s">
        <v>63</v>
      </c>
      <c r="C29" s="19">
        <v>0</v>
      </c>
      <c r="D29" s="19"/>
      <c r="E29" s="19">
        <v>18370314000</v>
      </c>
      <c r="F29" s="19"/>
      <c r="G29" s="19"/>
      <c r="H29" s="19"/>
      <c r="I29" s="19"/>
      <c r="J29" s="19"/>
      <c r="K29" s="19">
        <f t="shared" si="2"/>
        <v>18370314000</v>
      </c>
      <c r="L29" s="20" t="s">
        <v>31</v>
      </c>
    </row>
    <row r="30" spans="1:12" ht="31" outlineLevel="3" x14ac:dyDescent="0.4">
      <c r="A30" s="17" t="s">
        <v>64</v>
      </c>
      <c r="B30" s="18" t="s">
        <v>65</v>
      </c>
      <c r="C30" s="19">
        <v>58000000</v>
      </c>
      <c r="D30" s="19"/>
      <c r="E30" s="19"/>
      <c r="F30" s="19"/>
      <c r="G30" s="19"/>
      <c r="H30" s="19"/>
      <c r="I30" s="19"/>
      <c r="J30" s="19"/>
      <c r="K30" s="19">
        <f t="shared" si="2"/>
        <v>58000000</v>
      </c>
      <c r="L30" s="20"/>
    </row>
    <row r="31" spans="1:12" ht="31" outlineLevel="2" x14ac:dyDescent="0.4">
      <c r="A31" s="13" t="s">
        <v>66</v>
      </c>
      <c r="B31" s="14" t="s">
        <v>67</v>
      </c>
      <c r="C31" s="15">
        <f t="shared" ref="C31:J31" si="4">SUM(C32:C62)</f>
        <v>4026968000</v>
      </c>
      <c r="D31" s="15">
        <f t="shared" si="4"/>
        <v>90000000</v>
      </c>
      <c r="E31" s="15">
        <f t="shared" si="4"/>
        <v>20918800000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2"/>
        <v>25035768000</v>
      </c>
      <c r="L31" s="16"/>
    </row>
    <row r="32" spans="1:12" outlineLevel="3" x14ac:dyDescent="0.4">
      <c r="A32" s="17" t="s">
        <v>68</v>
      </c>
      <c r="B32" s="18" t="s">
        <v>69</v>
      </c>
      <c r="C32" s="19">
        <f>4000000000-4000000000</f>
        <v>0</v>
      </c>
      <c r="D32" s="19"/>
      <c r="E32" s="19"/>
      <c r="F32" s="19"/>
      <c r="G32" s="19"/>
      <c r="H32" s="19"/>
      <c r="I32" s="19"/>
      <c r="J32" s="19"/>
      <c r="K32" s="19">
        <f t="shared" si="2"/>
        <v>0</v>
      </c>
      <c r="L32" s="20" t="s">
        <v>283</v>
      </c>
    </row>
    <row r="33" spans="1:12" outlineLevel="3" x14ac:dyDescent="0.4">
      <c r="A33" s="17" t="s">
        <v>70</v>
      </c>
      <c r="B33" s="18" t="s">
        <v>18</v>
      </c>
      <c r="C33" s="19">
        <f>2000000000-1500000000-500000000</f>
        <v>0</v>
      </c>
      <c r="D33" s="19"/>
      <c r="E33" s="19"/>
      <c r="F33" s="19"/>
      <c r="G33" s="19"/>
      <c r="H33" s="19"/>
      <c r="I33" s="19"/>
      <c r="J33" s="19"/>
      <c r="K33" s="19">
        <f t="shared" si="2"/>
        <v>0</v>
      </c>
      <c r="L33" s="20" t="s">
        <v>279</v>
      </c>
    </row>
    <row r="34" spans="1:12" outlineLevel="3" x14ac:dyDescent="0.4">
      <c r="A34" s="17" t="s">
        <v>71</v>
      </c>
      <c r="B34" s="18" t="s">
        <v>72</v>
      </c>
      <c r="C34" s="19"/>
      <c r="D34" s="19"/>
      <c r="E34" s="19"/>
      <c r="F34" s="19"/>
      <c r="G34" s="19"/>
      <c r="H34" s="19"/>
      <c r="I34" s="19"/>
      <c r="J34" s="19"/>
      <c r="K34" s="19">
        <f t="shared" si="2"/>
        <v>0</v>
      </c>
      <c r="L34" s="20"/>
    </row>
    <row r="35" spans="1:12" ht="31" outlineLevel="3" x14ac:dyDescent="0.4">
      <c r="A35" s="17" t="s">
        <v>73</v>
      </c>
      <c r="B35" s="18" t="s">
        <v>24</v>
      </c>
      <c r="C35" s="19">
        <f>1155000000-1155000000+2000000000</f>
        <v>2000000000</v>
      </c>
      <c r="D35" s="19"/>
      <c r="E35" s="19"/>
      <c r="F35" s="19"/>
      <c r="G35" s="19"/>
      <c r="H35" s="19"/>
      <c r="I35" s="19"/>
      <c r="J35" s="19"/>
      <c r="K35" s="19">
        <f t="shared" si="2"/>
        <v>2000000000</v>
      </c>
      <c r="L35" s="20" t="s">
        <v>284</v>
      </c>
    </row>
    <row r="36" spans="1:12" ht="31" outlineLevel="3" x14ac:dyDescent="0.4">
      <c r="A36" s="17" t="s">
        <v>74</v>
      </c>
      <c r="B36" s="18" t="s">
        <v>75</v>
      </c>
      <c r="C36" s="19">
        <f>5200000000-D36-E36-722300000</f>
        <v>0</v>
      </c>
      <c r="D36" s="19">
        <v>90000000</v>
      </c>
      <c r="E36" s="19">
        <v>4387700000</v>
      </c>
      <c r="F36" s="19"/>
      <c r="G36" s="19"/>
      <c r="H36" s="19"/>
      <c r="I36" s="19"/>
      <c r="J36" s="19"/>
      <c r="K36" s="19">
        <f t="shared" si="2"/>
        <v>4477700000</v>
      </c>
      <c r="L36" s="20" t="s">
        <v>285</v>
      </c>
    </row>
    <row r="37" spans="1:12" outlineLevel="3" x14ac:dyDescent="0.4">
      <c r="A37" s="17" t="s">
        <v>76</v>
      </c>
      <c r="B37" s="18" t="s">
        <v>77</v>
      </c>
      <c r="C37" s="19">
        <f>500000000-E37</f>
        <v>199827000</v>
      </c>
      <c r="D37" s="19"/>
      <c r="E37" s="19">
        <v>300173000</v>
      </c>
      <c r="F37" s="19"/>
      <c r="G37" s="19"/>
      <c r="H37" s="19"/>
      <c r="I37" s="19"/>
      <c r="J37" s="19"/>
      <c r="K37" s="19">
        <f t="shared" si="2"/>
        <v>500000000</v>
      </c>
      <c r="L37" s="20" t="s">
        <v>31</v>
      </c>
    </row>
    <row r="38" spans="1:12" ht="31" outlineLevel="3" x14ac:dyDescent="0.4">
      <c r="A38" s="17" t="s">
        <v>78</v>
      </c>
      <c r="B38" s="18" t="s">
        <v>79</v>
      </c>
      <c r="C38" s="19">
        <f>105000000-105000000</f>
        <v>0</v>
      </c>
      <c r="D38" s="19"/>
      <c r="E38" s="19"/>
      <c r="F38" s="19"/>
      <c r="G38" s="19"/>
      <c r="H38" s="19"/>
      <c r="I38" s="19"/>
      <c r="J38" s="19"/>
      <c r="K38" s="19">
        <f t="shared" si="2"/>
        <v>0</v>
      </c>
      <c r="L38" s="20" t="s">
        <v>286</v>
      </c>
    </row>
    <row r="39" spans="1:12" ht="31" outlineLevel="3" x14ac:dyDescent="0.4">
      <c r="A39" s="17" t="s">
        <v>80</v>
      </c>
      <c r="B39" s="18" t="s">
        <v>30</v>
      </c>
      <c r="C39" s="19">
        <f>1250000000-E39-697242000</f>
        <v>0</v>
      </c>
      <c r="D39" s="19"/>
      <c r="E39" s="19">
        <v>552758000</v>
      </c>
      <c r="F39" s="19"/>
      <c r="G39" s="19"/>
      <c r="H39" s="19"/>
      <c r="I39" s="19"/>
      <c r="J39" s="19"/>
      <c r="K39" s="19">
        <f t="shared" si="2"/>
        <v>552758000</v>
      </c>
      <c r="L39" s="20" t="s">
        <v>287</v>
      </c>
    </row>
    <row r="40" spans="1:12" ht="31" outlineLevel="3" x14ac:dyDescent="0.4">
      <c r="A40" s="17" t="s">
        <v>81</v>
      </c>
      <c r="B40" s="18" t="s">
        <v>82</v>
      </c>
      <c r="C40" s="19">
        <f>1200000000-E40-899077000</f>
        <v>0</v>
      </c>
      <c r="D40" s="19"/>
      <c r="E40" s="19">
        <v>300923000</v>
      </c>
      <c r="F40" s="19"/>
      <c r="G40" s="19"/>
      <c r="H40" s="19"/>
      <c r="I40" s="19"/>
      <c r="J40" s="19"/>
      <c r="K40" s="19">
        <f t="shared" si="2"/>
        <v>300923000</v>
      </c>
      <c r="L40" s="20" t="s">
        <v>287</v>
      </c>
    </row>
    <row r="41" spans="1:12" outlineLevel="3" x14ac:dyDescent="0.4">
      <c r="A41" s="17" t="s">
        <v>83</v>
      </c>
      <c r="B41" s="18" t="s">
        <v>84</v>
      </c>
      <c r="C41" s="19">
        <f>150000000-150000000</f>
        <v>0</v>
      </c>
      <c r="D41" s="19"/>
      <c r="E41" s="19"/>
      <c r="F41" s="19"/>
      <c r="G41" s="19"/>
      <c r="H41" s="19"/>
      <c r="I41" s="19"/>
      <c r="J41" s="19"/>
      <c r="K41" s="19">
        <f t="shared" si="2"/>
        <v>0</v>
      </c>
      <c r="L41" s="20" t="s">
        <v>286</v>
      </c>
    </row>
    <row r="42" spans="1:12" outlineLevel="3" x14ac:dyDescent="0.4">
      <c r="A42" s="17" t="s">
        <v>85</v>
      </c>
      <c r="B42" s="18" t="s">
        <v>86</v>
      </c>
      <c r="C42" s="19">
        <f>250000000-250000000</f>
        <v>0</v>
      </c>
      <c r="D42" s="19"/>
      <c r="E42" s="19"/>
      <c r="F42" s="19"/>
      <c r="G42" s="19"/>
      <c r="H42" s="19"/>
      <c r="I42" s="19"/>
      <c r="J42" s="19"/>
      <c r="K42" s="19">
        <f t="shared" si="2"/>
        <v>0</v>
      </c>
      <c r="L42" s="20" t="s">
        <v>286</v>
      </c>
    </row>
    <row r="43" spans="1:12" ht="31" outlineLevel="3" x14ac:dyDescent="0.4">
      <c r="A43" s="17" t="s">
        <v>87</v>
      </c>
      <c r="B43" s="18" t="s">
        <v>33</v>
      </c>
      <c r="C43" s="19">
        <f>459123000-E43-99523000</f>
        <v>200000000</v>
      </c>
      <c r="D43" s="19"/>
      <c r="E43" s="19">
        <v>159600000</v>
      </c>
      <c r="F43" s="19"/>
      <c r="G43" s="19"/>
      <c r="H43" s="19"/>
      <c r="I43" s="19"/>
      <c r="J43" s="19"/>
      <c r="K43" s="19">
        <f t="shared" si="2"/>
        <v>359600000</v>
      </c>
      <c r="L43" s="20" t="s">
        <v>288</v>
      </c>
    </row>
    <row r="44" spans="1:12" outlineLevel="3" x14ac:dyDescent="0.4">
      <c r="A44" s="17" t="s">
        <v>88</v>
      </c>
      <c r="B44" s="18" t="s">
        <v>35</v>
      </c>
      <c r="C44" s="19">
        <v>0</v>
      </c>
      <c r="D44" s="19"/>
      <c r="E44" s="19">
        <v>820960000</v>
      </c>
      <c r="F44" s="19"/>
      <c r="G44" s="19"/>
      <c r="H44" s="19"/>
      <c r="I44" s="19"/>
      <c r="J44" s="19"/>
      <c r="K44" s="19">
        <f t="shared" si="2"/>
        <v>820960000</v>
      </c>
      <c r="L44" s="20" t="s">
        <v>31</v>
      </c>
    </row>
    <row r="45" spans="1:12" outlineLevel="3" x14ac:dyDescent="0.4">
      <c r="A45" s="17" t="s">
        <v>89</v>
      </c>
      <c r="B45" s="18" t="s">
        <v>37</v>
      </c>
      <c r="C45" s="19">
        <f>170000000-131895000-3705000</f>
        <v>34400000</v>
      </c>
      <c r="D45" s="19"/>
      <c r="E45" s="19"/>
      <c r="F45" s="19"/>
      <c r="G45" s="19"/>
      <c r="H45" s="19"/>
      <c r="I45" s="19"/>
      <c r="J45" s="19"/>
      <c r="K45" s="19">
        <f t="shared" si="2"/>
        <v>34400000</v>
      </c>
      <c r="L45" s="20" t="s">
        <v>279</v>
      </c>
    </row>
    <row r="46" spans="1:12" ht="46.5" outlineLevel="3" x14ac:dyDescent="0.4">
      <c r="A46" s="17" t="s">
        <v>90</v>
      </c>
      <c r="B46" s="18" t="s">
        <v>39</v>
      </c>
      <c r="C46" s="19">
        <f>425000000-139937000-114614000</f>
        <v>170449000</v>
      </c>
      <c r="D46" s="19"/>
      <c r="E46" s="19"/>
      <c r="F46" s="19"/>
      <c r="G46" s="19"/>
      <c r="H46" s="19"/>
      <c r="I46" s="19"/>
      <c r="J46" s="19"/>
      <c r="K46" s="19">
        <f t="shared" si="2"/>
        <v>170449000</v>
      </c>
      <c r="L46" s="30" t="s">
        <v>302</v>
      </c>
    </row>
    <row r="47" spans="1:12" outlineLevel="3" x14ac:dyDescent="0.4">
      <c r="A47" s="17" t="s">
        <v>91</v>
      </c>
      <c r="B47" s="18" t="s">
        <v>41</v>
      </c>
      <c r="C47" s="19">
        <f>8500000-8500000</f>
        <v>0</v>
      </c>
      <c r="D47" s="19"/>
      <c r="E47" s="19"/>
      <c r="F47" s="19"/>
      <c r="G47" s="19"/>
      <c r="H47" s="19"/>
      <c r="I47" s="19"/>
      <c r="J47" s="19"/>
      <c r="K47" s="19">
        <f t="shared" si="2"/>
        <v>0</v>
      </c>
      <c r="L47" s="20" t="s">
        <v>279</v>
      </c>
    </row>
    <row r="48" spans="1:12" ht="31" outlineLevel="3" x14ac:dyDescent="0.4">
      <c r="A48" s="17" t="s">
        <v>92</v>
      </c>
      <c r="B48" s="18" t="s">
        <v>43</v>
      </c>
      <c r="C48" s="19">
        <f>850000000-714800000</f>
        <v>135200000</v>
      </c>
      <c r="D48" s="19"/>
      <c r="E48" s="19"/>
      <c r="F48" s="19"/>
      <c r="G48" s="19"/>
      <c r="H48" s="19"/>
      <c r="I48" s="19"/>
      <c r="J48" s="19"/>
      <c r="K48" s="19">
        <f t="shared" si="2"/>
        <v>135200000</v>
      </c>
      <c r="L48" s="20" t="s">
        <v>280</v>
      </c>
    </row>
    <row r="49" spans="1:12" ht="31" outlineLevel="3" x14ac:dyDescent="0.4">
      <c r="A49" s="17" t="s">
        <v>93</v>
      </c>
      <c r="B49" s="18" t="s">
        <v>45</v>
      </c>
      <c r="C49" s="19">
        <f>170000000-116400000+31400000</f>
        <v>85000000</v>
      </c>
      <c r="D49" s="19"/>
      <c r="E49" s="19"/>
      <c r="F49" s="19"/>
      <c r="G49" s="19"/>
      <c r="H49" s="19"/>
      <c r="I49" s="19"/>
      <c r="J49" s="19"/>
      <c r="K49" s="19">
        <f t="shared" si="2"/>
        <v>85000000</v>
      </c>
      <c r="L49" s="20" t="s">
        <v>279</v>
      </c>
    </row>
    <row r="50" spans="1:12" ht="31" outlineLevel="3" x14ac:dyDescent="0.4">
      <c r="A50" s="17" t="s">
        <v>94</v>
      </c>
      <c r="B50" s="18" t="s">
        <v>95</v>
      </c>
      <c r="C50" s="19">
        <f>3195000000-3195000000</f>
        <v>0</v>
      </c>
      <c r="D50" s="19"/>
      <c r="E50" s="19"/>
      <c r="F50" s="19"/>
      <c r="G50" s="19"/>
      <c r="H50" s="19"/>
      <c r="I50" s="19"/>
      <c r="J50" s="19"/>
      <c r="K50" s="19">
        <f t="shared" si="2"/>
        <v>0</v>
      </c>
      <c r="L50" s="20" t="s">
        <v>286</v>
      </c>
    </row>
    <row r="51" spans="1:12" outlineLevel="3" x14ac:dyDescent="0.4">
      <c r="A51" s="17" t="s">
        <v>96</v>
      </c>
      <c r="B51" s="18" t="s">
        <v>97</v>
      </c>
      <c r="C51" s="19">
        <f>625000000-415000000</f>
        <v>210000000</v>
      </c>
      <c r="D51" s="19"/>
      <c r="E51" s="19"/>
      <c r="F51" s="19"/>
      <c r="G51" s="19"/>
      <c r="H51" s="19"/>
      <c r="I51" s="19"/>
      <c r="J51" s="19"/>
      <c r="K51" s="19">
        <f t="shared" si="2"/>
        <v>210000000</v>
      </c>
      <c r="L51" s="20" t="s">
        <v>279</v>
      </c>
    </row>
    <row r="52" spans="1:12" outlineLevel="3" x14ac:dyDescent="0.4">
      <c r="A52" s="17" t="s">
        <v>98</v>
      </c>
      <c r="B52" s="18" t="s">
        <v>49</v>
      </c>
      <c r="C52" s="19">
        <f>1332535000-511575000-565960000-255000000</f>
        <v>0</v>
      </c>
      <c r="D52" s="19"/>
      <c r="E52" s="19"/>
      <c r="F52" s="19"/>
      <c r="G52" s="19"/>
      <c r="H52" s="19"/>
      <c r="I52" s="19"/>
      <c r="J52" s="19"/>
      <c r="K52" s="19">
        <f t="shared" si="2"/>
        <v>0</v>
      </c>
      <c r="L52" s="20" t="s">
        <v>286</v>
      </c>
    </row>
    <row r="53" spans="1:12" ht="31" outlineLevel="3" x14ac:dyDescent="0.4">
      <c r="A53" s="17" t="s">
        <v>99</v>
      </c>
      <c r="B53" s="18" t="s">
        <v>51</v>
      </c>
      <c r="C53" s="19">
        <f>172500000-37650000</f>
        <v>134850000</v>
      </c>
      <c r="D53" s="19"/>
      <c r="E53" s="19"/>
      <c r="F53" s="19"/>
      <c r="G53" s="19"/>
      <c r="H53" s="19"/>
      <c r="I53" s="19"/>
      <c r="J53" s="19"/>
      <c r="K53" s="19">
        <f t="shared" si="2"/>
        <v>134850000</v>
      </c>
      <c r="L53" s="30" t="s">
        <v>303</v>
      </c>
    </row>
    <row r="54" spans="1:12" ht="31" outlineLevel="3" x14ac:dyDescent="0.4">
      <c r="A54" s="17" t="s">
        <v>100</v>
      </c>
      <c r="B54" s="18" t="s">
        <v>101</v>
      </c>
      <c r="C54" s="19">
        <f>51000000-1000000</f>
        <v>50000000</v>
      </c>
      <c r="D54" s="19"/>
      <c r="E54" s="19"/>
      <c r="F54" s="19"/>
      <c r="G54" s="19"/>
      <c r="H54" s="19"/>
      <c r="I54" s="19"/>
      <c r="J54" s="19"/>
      <c r="K54" s="19">
        <f t="shared" si="2"/>
        <v>50000000</v>
      </c>
      <c r="L54" s="20" t="s">
        <v>279</v>
      </c>
    </row>
    <row r="55" spans="1:12" outlineLevel="3" x14ac:dyDescent="0.4">
      <c r="A55" s="17" t="s">
        <v>102</v>
      </c>
      <c r="B55" s="18" t="s">
        <v>55</v>
      </c>
      <c r="C55" s="19">
        <f>580000000-135450000-44550000</f>
        <v>400000000</v>
      </c>
      <c r="D55" s="19"/>
      <c r="E55" s="19"/>
      <c r="F55" s="19"/>
      <c r="G55" s="19"/>
      <c r="H55" s="19"/>
      <c r="I55" s="19"/>
      <c r="J55" s="19"/>
      <c r="K55" s="19">
        <f t="shared" si="2"/>
        <v>400000000</v>
      </c>
      <c r="L55" s="20" t="s">
        <v>279</v>
      </c>
    </row>
    <row r="56" spans="1:12" ht="46.5" outlineLevel="3" x14ac:dyDescent="0.4">
      <c r="A56" s="17" t="s">
        <v>103</v>
      </c>
      <c r="B56" s="18" t="s">
        <v>104</v>
      </c>
      <c r="C56" s="19">
        <f>258980000-8980000-17375000</f>
        <v>232625000</v>
      </c>
      <c r="D56" s="19"/>
      <c r="E56" s="19"/>
      <c r="F56" s="19"/>
      <c r="G56" s="19"/>
      <c r="H56" s="19"/>
      <c r="I56" s="19"/>
      <c r="J56" s="19"/>
      <c r="K56" s="19">
        <f t="shared" si="2"/>
        <v>232625000</v>
      </c>
      <c r="L56" s="20" t="s">
        <v>304</v>
      </c>
    </row>
    <row r="57" spans="1:12" ht="46.5" outlineLevel="3" x14ac:dyDescent="0.4">
      <c r="A57" s="17" t="s">
        <v>105</v>
      </c>
      <c r="B57" s="18" t="s">
        <v>106</v>
      </c>
      <c r="C57" s="19">
        <f>7100000-7100000</f>
        <v>0</v>
      </c>
      <c r="D57" s="19"/>
      <c r="E57" s="19"/>
      <c r="F57" s="19"/>
      <c r="G57" s="19"/>
      <c r="H57" s="19"/>
      <c r="I57" s="19"/>
      <c r="J57" s="19"/>
      <c r="K57" s="19">
        <f t="shared" si="2"/>
        <v>0</v>
      </c>
      <c r="L57" s="20" t="s">
        <v>279</v>
      </c>
    </row>
    <row r="58" spans="1:12" ht="31" outlineLevel="3" x14ac:dyDescent="0.4">
      <c r="A58" s="17" t="s">
        <v>107</v>
      </c>
      <c r="B58" s="18" t="s">
        <v>61</v>
      </c>
      <c r="C58" s="19">
        <f>496000000-344558000+40000000-40000000</f>
        <v>151442000</v>
      </c>
      <c r="D58" s="19"/>
      <c r="E58" s="19"/>
      <c r="F58" s="19"/>
      <c r="G58" s="19"/>
      <c r="H58" s="19"/>
      <c r="I58" s="19"/>
      <c r="J58" s="19"/>
      <c r="K58" s="19">
        <f t="shared" si="2"/>
        <v>151442000</v>
      </c>
      <c r="L58" s="20" t="s">
        <v>305</v>
      </c>
    </row>
    <row r="59" spans="1:12" ht="31" outlineLevel="3" x14ac:dyDescent="0.4">
      <c r="A59" s="17" t="s">
        <v>108</v>
      </c>
      <c r="B59" s="18" t="s">
        <v>109</v>
      </c>
      <c r="C59" s="19">
        <v>0</v>
      </c>
      <c r="D59" s="19"/>
      <c r="E59" s="19">
        <v>14396686000</v>
      </c>
      <c r="F59" s="19"/>
      <c r="G59" s="19"/>
      <c r="H59" s="19"/>
      <c r="I59" s="19"/>
      <c r="J59" s="19"/>
      <c r="K59" s="19">
        <f t="shared" si="2"/>
        <v>14396686000</v>
      </c>
      <c r="L59" s="20" t="s">
        <v>31</v>
      </c>
    </row>
    <row r="60" spans="1:12" ht="31" outlineLevel="3" x14ac:dyDescent="0.4">
      <c r="A60" s="17" t="s">
        <v>110</v>
      </c>
      <c r="B60" s="18" t="s">
        <v>111</v>
      </c>
      <c r="C60" s="19">
        <v>23175000</v>
      </c>
      <c r="D60" s="19"/>
      <c r="E60" s="19"/>
      <c r="F60" s="19"/>
      <c r="G60" s="19"/>
      <c r="H60" s="19"/>
      <c r="I60" s="19"/>
      <c r="J60" s="19"/>
      <c r="K60" s="19">
        <f t="shared" si="2"/>
        <v>23175000</v>
      </c>
      <c r="L60" s="20"/>
    </row>
    <row r="61" spans="1:12" outlineLevel="3" x14ac:dyDescent="0.4">
      <c r="A61" s="17" t="s">
        <v>112</v>
      </c>
      <c r="B61" s="18" t="s">
        <v>113</v>
      </c>
      <c r="C61" s="19">
        <f>750000000-750000000</f>
        <v>0</v>
      </c>
      <c r="D61" s="19"/>
      <c r="E61" s="19"/>
      <c r="F61" s="19"/>
      <c r="G61" s="19"/>
      <c r="H61" s="19"/>
      <c r="I61" s="19"/>
      <c r="J61" s="19"/>
      <c r="K61" s="19">
        <f t="shared" si="2"/>
        <v>0</v>
      </c>
      <c r="L61" s="20" t="s">
        <v>286</v>
      </c>
    </row>
    <row r="62" spans="1:12" ht="31" outlineLevel="3" x14ac:dyDescent="0.4">
      <c r="A62" s="17" t="s">
        <v>114</v>
      </c>
      <c r="B62" s="18" t="s">
        <v>115</v>
      </c>
      <c r="C62" s="19">
        <f>160000000-160000000</f>
        <v>0</v>
      </c>
      <c r="D62" s="19"/>
      <c r="E62" s="19"/>
      <c r="F62" s="19"/>
      <c r="G62" s="19"/>
      <c r="H62" s="19"/>
      <c r="I62" s="19"/>
      <c r="J62" s="19"/>
      <c r="K62" s="19">
        <f t="shared" si="2"/>
        <v>0</v>
      </c>
      <c r="L62" s="20" t="s">
        <v>286</v>
      </c>
    </row>
    <row r="63" spans="1:12" outlineLevel="2" x14ac:dyDescent="0.4">
      <c r="A63" s="13" t="s">
        <v>116</v>
      </c>
      <c r="B63" s="14" t="s">
        <v>117</v>
      </c>
      <c r="C63" s="15">
        <f t="shared" ref="C63:J63" si="5">SUM(C64:C82)</f>
        <v>1161174000</v>
      </c>
      <c r="D63" s="15">
        <f t="shared" si="5"/>
        <v>0</v>
      </c>
      <c r="E63" s="15">
        <f t="shared" si="5"/>
        <v>7828342000</v>
      </c>
      <c r="F63" s="15">
        <f t="shared" si="5"/>
        <v>0</v>
      </c>
      <c r="G63" s="15">
        <f t="shared" si="5"/>
        <v>0</v>
      </c>
      <c r="H63" s="15">
        <f t="shared" si="5"/>
        <v>0</v>
      </c>
      <c r="I63" s="15">
        <f t="shared" si="5"/>
        <v>0</v>
      </c>
      <c r="J63" s="15">
        <f t="shared" si="5"/>
        <v>100000000</v>
      </c>
      <c r="K63" s="15">
        <f t="shared" si="2"/>
        <v>9089516000</v>
      </c>
      <c r="L63" s="16"/>
    </row>
    <row r="64" spans="1:12" ht="62" outlineLevel="3" x14ac:dyDescent="0.4">
      <c r="A64" s="17" t="s">
        <v>118</v>
      </c>
      <c r="B64" s="18" t="s">
        <v>119</v>
      </c>
      <c r="C64" s="19">
        <f>250000000-125000000+125000000-250000000</f>
        <v>0</v>
      </c>
      <c r="D64" s="19"/>
      <c r="E64" s="19"/>
      <c r="F64" s="19"/>
      <c r="G64" s="19"/>
      <c r="H64" s="19"/>
      <c r="I64" s="19"/>
      <c r="J64" s="19"/>
      <c r="K64" s="19">
        <f t="shared" si="2"/>
        <v>0</v>
      </c>
      <c r="L64" s="20" t="s">
        <v>310</v>
      </c>
    </row>
    <row r="65" spans="1:12" ht="31" outlineLevel="3" x14ac:dyDescent="0.4">
      <c r="A65" s="17" t="s">
        <v>120</v>
      </c>
      <c r="B65" s="18" t="s">
        <v>121</v>
      </c>
      <c r="C65" s="19">
        <v>0</v>
      </c>
      <c r="D65" s="19"/>
      <c r="E65" s="19">
        <v>794072000</v>
      </c>
      <c r="F65" s="19"/>
      <c r="G65" s="19"/>
      <c r="H65" s="19"/>
      <c r="I65" s="19"/>
      <c r="J65" s="19"/>
      <c r="K65" s="19">
        <f t="shared" si="2"/>
        <v>794072000</v>
      </c>
      <c r="L65" s="20" t="s">
        <v>31</v>
      </c>
    </row>
    <row r="66" spans="1:12" ht="62" outlineLevel="3" x14ac:dyDescent="0.4">
      <c r="A66" s="17" t="s">
        <v>122</v>
      </c>
      <c r="B66" s="18" t="s">
        <v>123</v>
      </c>
      <c r="C66" s="19">
        <f>750000000-E66-209965000</f>
        <v>0</v>
      </c>
      <c r="D66" s="19"/>
      <c r="E66" s="19">
        <v>540035000</v>
      </c>
      <c r="F66" s="19"/>
      <c r="G66" s="19"/>
      <c r="H66" s="19"/>
      <c r="I66" s="19"/>
      <c r="J66" s="19">
        <v>100000000</v>
      </c>
      <c r="K66" s="19">
        <f t="shared" si="2"/>
        <v>640035000</v>
      </c>
      <c r="L66" s="20" t="s">
        <v>289</v>
      </c>
    </row>
    <row r="67" spans="1:12" ht="31" outlineLevel="3" x14ac:dyDescent="0.4">
      <c r="A67" s="17" t="s">
        <v>124</v>
      </c>
      <c r="B67" s="18" t="s">
        <v>125</v>
      </c>
      <c r="C67" s="19">
        <f>340000000-340000000</f>
        <v>0</v>
      </c>
      <c r="D67" s="19"/>
      <c r="E67" s="19"/>
      <c r="F67" s="19"/>
      <c r="G67" s="19"/>
      <c r="H67" s="19"/>
      <c r="I67" s="19"/>
      <c r="J67" s="19"/>
      <c r="K67" s="19">
        <f t="shared" si="2"/>
        <v>0</v>
      </c>
      <c r="L67" s="20" t="s">
        <v>286</v>
      </c>
    </row>
    <row r="68" spans="1:12" ht="31" outlineLevel="3" x14ac:dyDescent="0.4">
      <c r="A68" s="17" t="s">
        <v>126</v>
      </c>
      <c r="B68" s="18" t="s">
        <v>127</v>
      </c>
      <c r="C68" s="19">
        <v>40000000</v>
      </c>
      <c r="D68" s="19"/>
      <c r="E68" s="19"/>
      <c r="F68" s="19"/>
      <c r="G68" s="19"/>
      <c r="H68" s="19"/>
      <c r="I68" s="19"/>
      <c r="J68" s="19"/>
      <c r="K68" s="19">
        <f t="shared" si="2"/>
        <v>40000000</v>
      </c>
      <c r="L68" s="20"/>
    </row>
    <row r="69" spans="1:12" ht="31" outlineLevel="3" x14ac:dyDescent="0.4">
      <c r="A69" s="17" t="s">
        <v>128</v>
      </c>
      <c r="B69" s="18" t="s">
        <v>129</v>
      </c>
      <c r="C69" s="19">
        <v>20000000</v>
      </c>
      <c r="D69" s="19"/>
      <c r="E69" s="19"/>
      <c r="F69" s="19"/>
      <c r="G69" s="19"/>
      <c r="H69" s="19"/>
      <c r="I69" s="19"/>
      <c r="J69" s="19"/>
      <c r="K69" s="19">
        <f t="shared" ref="K69:K132" si="6">SUM(C69:J69)</f>
        <v>20000000</v>
      </c>
      <c r="L69" s="20"/>
    </row>
    <row r="70" spans="1:12" outlineLevel="3" x14ac:dyDescent="0.4">
      <c r="A70" s="17" t="s">
        <v>130</v>
      </c>
      <c r="B70" s="18" t="s">
        <v>131</v>
      </c>
      <c r="C70" s="19">
        <v>80000000</v>
      </c>
      <c r="D70" s="19"/>
      <c r="E70" s="19"/>
      <c r="F70" s="19"/>
      <c r="G70" s="19"/>
      <c r="H70" s="19"/>
      <c r="I70" s="19"/>
      <c r="J70" s="19"/>
      <c r="K70" s="19">
        <f t="shared" si="6"/>
        <v>80000000</v>
      </c>
      <c r="L70" s="20"/>
    </row>
    <row r="71" spans="1:12" outlineLevel="3" x14ac:dyDescent="0.4">
      <c r="A71" s="17" t="s">
        <v>132</v>
      </c>
      <c r="B71" s="18" t="s">
        <v>133</v>
      </c>
      <c r="C71" s="19">
        <v>10000000</v>
      </c>
      <c r="D71" s="19"/>
      <c r="E71" s="19"/>
      <c r="F71" s="19"/>
      <c r="G71" s="19"/>
      <c r="H71" s="19"/>
      <c r="I71" s="19"/>
      <c r="J71" s="19"/>
      <c r="K71" s="19">
        <f t="shared" si="6"/>
        <v>10000000</v>
      </c>
      <c r="L71" s="20"/>
    </row>
    <row r="72" spans="1:12" outlineLevel="3" x14ac:dyDescent="0.4">
      <c r="A72" s="17" t="s">
        <v>134</v>
      </c>
      <c r="B72" s="18" t="s">
        <v>135</v>
      </c>
      <c r="C72" s="19">
        <v>80000000</v>
      </c>
      <c r="D72" s="19"/>
      <c r="E72" s="19"/>
      <c r="F72" s="19"/>
      <c r="G72" s="19"/>
      <c r="H72" s="19"/>
      <c r="I72" s="19"/>
      <c r="J72" s="19"/>
      <c r="K72" s="19">
        <f t="shared" si="6"/>
        <v>80000000</v>
      </c>
      <c r="L72" s="20"/>
    </row>
    <row r="73" spans="1:12" ht="31" outlineLevel="3" x14ac:dyDescent="0.4">
      <c r="A73" s="17" t="s">
        <v>136</v>
      </c>
      <c r="B73" s="18" t="s">
        <v>137</v>
      </c>
      <c r="C73" s="19">
        <f>121250000-21250000</f>
        <v>100000000</v>
      </c>
      <c r="D73" s="19"/>
      <c r="E73" s="19"/>
      <c r="F73" s="19"/>
      <c r="G73" s="19"/>
      <c r="H73" s="19"/>
      <c r="I73" s="19"/>
      <c r="J73" s="19"/>
      <c r="K73" s="19">
        <f t="shared" si="6"/>
        <v>100000000</v>
      </c>
      <c r="L73" s="30" t="s">
        <v>306</v>
      </c>
    </row>
    <row r="74" spans="1:12" outlineLevel="3" x14ac:dyDescent="0.4">
      <c r="A74" s="17" t="s">
        <v>138</v>
      </c>
      <c r="B74" s="18" t="s">
        <v>139</v>
      </c>
      <c r="C74" s="19">
        <f>640000000-640000000</f>
        <v>0</v>
      </c>
      <c r="D74" s="19"/>
      <c r="E74" s="19"/>
      <c r="F74" s="19"/>
      <c r="G74" s="19"/>
      <c r="H74" s="19"/>
      <c r="I74" s="19"/>
      <c r="J74" s="19"/>
      <c r="K74" s="19">
        <f t="shared" si="6"/>
        <v>0</v>
      </c>
      <c r="L74" s="20" t="s">
        <v>286</v>
      </c>
    </row>
    <row r="75" spans="1:12" outlineLevel="3" x14ac:dyDescent="0.4">
      <c r="A75" s="17" t="s">
        <v>140</v>
      </c>
      <c r="B75" s="18" t="s">
        <v>141</v>
      </c>
      <c r="C75" s="19">
        <v>0</v>
      </c>
      <c r="D75" s="19"/>
      <c r="E75" s="19">
        <v>354435000</v>
      </c>
      <c r="F75" s="19"/>
      <c r="G75" s="19"/>
      <c r="H75" s="19"/>
      <c r="I75" s="19"/>
      <c r="J75" s="19"/>
      <c r="K75" s="19">
        <f t="shared" si="6"/>
        <v>354435000</v>
      </c>
      <c r="L75" s="20" t="s">
        <v>31</v>
      </c>
    </row>
    <row r="76" spans="1:12" outlineLevel="3" x14ac:dyDescent="0.4">
      <c r="A76" s="17" t="s">
        <v>142</v>
      </c>
      <c r="B76" s="18" t="s">
        <v>143</v>
      </c>
      <c r="C76" s="19">
        <f>6574986000-6019060900-430925100</f>
        <v>125000000</v>
      </c>
      <c r="D76" s="19"/>
      <c r="E76" s="19"/>
      <c r="F76" s="19"/>
      <c r="G76" s="19"/>
      <c r="H76" s="19"/>
      <c r="I76" s="19"/>
      <c r="J76" s="19"/>
      <c r="K76" s="19">
        <f t="shared" si="6"/>
        <v>125000000</v>
      </c>
      <c r="L76" s="20" t="s">
        <v>279</v>
      </c>
    </row>
    <row r="77" spans="1:12" ht="31" outlineLevel="3" x14ac:dyDescent="0.4">
      <c r="A77" s="17" t="s">
        <v>144</v>
      </c>
      <c r="B77" s="18" t="s">
        <v>145</v>
      </c>
      <c r="C77" s="19">
        <f>125000000-56750000</f>
        <v>68250000</v>
      </c>
      <c r="D77" s="19"/>
      <c r="E77" s="19"/>
      <c r="F77" s="19"/>
      <c r="G77" s="19"/>
      <c r="H77" s="19"/>
      <c r="I77" s="19"/>
      <c r="J77" s="19"/>
      <c r="K77" s="19">
        <f t="shared" si="6"/>
        <v>68250000</v>
      </c>
      <c r="L77" s="20" t="s">
        <v>280</v>
      </c>
    </row>
    <row r="78" spans="1:12" ht="31" outlineLevel="3" x14ac:dyDescent="0.4">
      <c r="A78" s="17" t="s">
        <v>146</v>
      </c>
      <c r="B78" s="18" t="s">
        <v>147</v>
      </c>
      <c r="C78" s="19">
        <f>48000000+2424000</f>
        <v>50424000</v>
      </c>
      <c r="D78" s="19"/>
      <c r="E78" s="19"/>
      <c r="F78" s="19"/>
      <c r="G78" s="19"/>
      <c r="H78" s="19"/>
      <c r="I78" s="19"/>
      <c r="J78" s="19"/>
      <c r="K78" s="19">
        <f t="shared" si="6"/>
        <v>50424000</v>
      </c>
      <c r="L78" s="20" t="s">
        <v>279</v>
      </c>
    </row>
    <row r="79" spans="1:12" ht="31" outlineLevel="3" x14ac:dyDescent="0.4">
      <c r="A79" s="17" t="s">
        <v>148</v>
      </c>
      <c r="B79" s="18" t="s">
        <v>149</v>
      </c>
      <c r="C79" s="19">
        <f>2000000-2000000</f>
        <v>0</v>
      </c>
      <c r="D79" s="19"/>
      <c r="E79" s="19"/>
      <c r="F79" s="19"/>
      <c r="G79" s="19"/>
      <c r="H79" s="19"/>
      <c r="I79" s="19"/>
      <c r="J79" s="19"/>
      <c r="K79" s="19">
        <f t="shared" si="6"/>
        <v>0</v>
      </c>
      <c r="L79" s="20" t="s">
        <v>279</v>
      </c>
    </row>
    <row r="80" spans="1:12" outlineLevel="3" x14ac:dyDescent="0.4">
      <c r="A80" s="17" t="s">
        <v>150</v>
      </c>
      <c r="B80" s="18" t="s">
        <v>151</v>
      </c>
      <c r="C80" s="19">
        <f>780000000-303900000+11400000</f>
        <v>487500000</v>
      </c>
      <c r="D80" s="19"/>
      <c r="E80" s="19"/>
      <c r="F80" s="19"/>
      <c r="G80" s="19"/>
      <c r="H80" s="19"/>
      <c r="I80" s="19"/>
      <c r="J80" s="19"/>
      <c r="K80" s="19">
        <f t="shared" si="6"/>
        <v>487500000</v>
      </c>
      <c r="L80" s="30" t="s">
        <v>307</v>
      </c>
    </row>
    <row r="81" spans="1:12" ht="31" outlineLevel="3" x14ac:dyDescent="0.4">
      <c r="A81" s="17" t="s">
        <v>152</v>
      </c>
      <c r="B81" s="18" t="s">
        <v>153</v>
      </c>
      <c r="C81" s="19">
        <f>7600000000-E81-400000000-1060200000</f>
        <v>0</v>
      </c>
      <c r="D81" s="19"/>
      <c r="E81" s="19">
        <v>6139800000</v>
      </c>
      <c r="F81" s="19"/>
      <c r="G81" s="19"/>
      <c r="H81" s="19"/>
      <c r="I81" s="19"/>
      <c r="J81" s="19"/>
      <c r="K81" s="19">
        <f t="shared" si="6"/>
        <v>6139800000</v>
      </c>
      <c r="L81" s="20" t="s">
        <v>290</v>
      </c>
    </row>
    <row r="82" spans="1:12" ht="31" outlineLevel="3" x14ac:dyDescent="0.4">
      <c r="A82" s="17" t="s">
        <v>154</v>
      </c>
      <c r="B82" s="18" t="s">
        <v>155</v>
      </c>
      <c r="C82" s="19">
        <f>129500000-15000000-14500000</f>
        <v>100000000</v>
      </c>
      <c r="D82" s="19"/>
      <c r="E82" s="19"/>
      <c r="F82" s="19"/>
      <c r="G82" s="19"/>
      <c r="H82" s="19"/>
      <c r="I82" s="19"/>
      <c r="J82" s="19"/>
      <c r="K82" s="19">
        <f t="shared" si="6"/>
        <v>100000000</v>
      </c>
      <c r="L82" s="20" t="s">
        <v>279</v>
      </c>
    </row>
    <row r="83" spans="1:12" outlineLevel="2" x14ac:dyDescent="0.4">
      <c r="A83" s="13" t="s">
        <v>156</v>
      </c>
      <c r="B83" s="14" t="s">
        <v>157</v>
      </c>
      <c r="C83" s="15">
        <f t="shared" ref="C83:J83" si="7">SUM(C84:C99)</f>
        <v>1002000000</v>
      </c>
      <c r="D83" s="15">
        <f t="shared" si="7"/>
        <v>0</v>
      </c>
      <c r="E83" s="15">
        <f t="shared" si="7"/>
        <v>2089000000</v>
      </c>
      <c r="F83" s="15">
        <f t="shared" si="7"/>
        <v>0</v>
      </c>
      <c r="G83" s="15">
        <f t="shared" si="7"/>
        <v>0</v>
      </c>
      <c r="H83" s="15">
        <f t="shared" si="7"/>
        <v>0</v>
      </c>
      <c r="I83" s="15">
        <f t="shared" si="7"/>
        <v>0</v>
      </c>
      <c r="J83" s="15">
        <f t="shared" si="7"/>
        <v>0</v>
      </c>
      <c r="K83" s="15">
        <f t="shared" si="6"/>
        <v>3091000000</v>
      </c>
      <c r="L83" s="16"/>
    </row>
    <row r="84" spans="1:12" ht="31" outlineLevel="3" x14ac:dyDescent="0.4">
      <c r="A84" s="17" t="s">
        <v>158</v>
      </c>
      <c r="B84" s="18" t="s">
        <v>159</v>
      </c>
      <c r="C84" s="19">
        <f>2100000000-2100000000+1600000000-1600000000</f>
        <v>0</v>
      </c>
      <c r="D84" s="19"/>
      <c r="E84" s="19"/>
      <c r="F84" s="19"/>
      <c r="G84" s="19"/>
      <c r="H84" s="19"/>
      <c r="I84" s="19"/>
      <c r="J84" s="19"/>
      <c r="K84" s="19">
        <f t="shared" si="6"/>
        <v>0</v>
      </c>
      <c r="L84" s="20" t="s">
        <v>282</v>
      </c>
    </row>
    <row r="85" spans="1:12" ht="31" outlineLevel="3" x14ac:dyDescent="0.4">
      <c r="A85" s="17" t="s">
        <v>160</v>
      </c>
      <c r="B85" s="18" t="s">
        <v>161</v>
      </c>
      <c r="C85" s="19">
        <f>140000000-140000000</f>
        <v>0</v>
      </c>
      <c r="D85" s="19"/>
      <c r="E85" s="19"/>
      <c r="F85" s="19"/>
      <c r="G85" s="19"/>
      <c r="H85" s="19"/>
      <c r="I85" s="19"/>
      <c r="J85" s="19"/>
      <c r="K85" s="19">
        <f t="shared" si="6"/>
        <v>0</v>
      </c>
      <c r="L85" s="20" t="s">
        <v>276</v>
      </c>
    </row>
    <row r="86" spans="1:12" ht="46.5" outlineLevel="3" x14ac:dyDescent="0.4">
      <c r="A86" s="17" t="s">
        <v>162</v>
      </c>
      <c r="B86" s="18" t="s">
        <v>163</v>
      </c>
      <c r="C86" s="19"/>
      <c r="D86" s="19"/>
      <c r="E86" s="19"/>
      <c r="F86" s="19"/>
      <c r="G86" s="19"/>
      <c r="H86" s="19"/>
      <c r="I86" s="19"/>
      <c r="J86" s="19"/>
      <c r="K86" s="19">
        <f t="shared" si="6"/>
        <v>0</v>
      </c>
      <c r="L86" s="20"/>
    </row>
    <row r="87" spans="1:12" ht="46.5" outlineLevel="3" x14ac:dyDescent="0.4">
      <c r="A87" s="17" t="s">
        <v>164</v>
      </c>
      <c r="B87" s="18" t="s">
        <v>165</v>
      </c>
      <c r="C87" s="19">
        <f>200000000-200000000</f>
        <v>0</v>
      </c>
      <c r="D87" s="19"/>
      <c r="E87" s="19"/>
      <c r="F87" s="19"/>
      <c r="G87" s="19"/>
      <c r="H87" s="19"/>
      <c r="I87" s="19"/>
      <c r="J87" s="19"/>
      <c r="K87" s="19">
        <f t="shared" si="6"/>
        <v>0</v>
      </c>
      <c r="L87" s="20" t="s">
        <v>276</v>
      </c>
    </row>
    <row r="88" spans="1:12" ht="31" outlineLevel="3" x14ac:dyDescent="0.4">
      <c r="A88" s="17" t="s">
        <v>166</v>
      </c>
      <c r="B88" s="18" t="s">
        <v>167</v>
      </c>
      <c r="C88" s="19">
        <f>105000000-5000000</f>
        <v>100000000</v>
      </c>
      <c r="D88" s="19"/>
      <c r="E88" s="19"/>
      <c r="F88" s="19"/>
      <c r="G88" s="19"/>
      <c r="H88" s="19"/>
      <c r="I88" s="19"/>
      <c r="J88" s="19"/>
      <c r="K88" s="19">
        <f t="shared" si="6"/>
        <v>100000000</v>
      </c>
      <c r="L88" s="20" t="s">
        <v>276</v>
      </c>
    </row>
    <row r="89" spans="1:12" ht="31" outlineLevel="3" x14ac:dyDescent="0.4">
      <c r="A89" s="17" t="s">
        <v>168</v>
      </c>
      <c r="B89" s="18" t="s">
        <v>169</v>
      </c>
      <c r="C89" s="19">
        <v>20000000</v>
      </c>
      <c r="D89" s="19"/>
      <c r="E89" s="19"/>
      <c r="F89" s="19"/>
      <c r="G89" s="19"/>
      <c r="H89" s="19"/>
      <c r="I89" s="19"/>
      <c r="J89" s="19"/>
      <c r="K89" s="19">
        <f t="shared" si="6"/>
        <v>20000000</v>
      </c>
      <c r="L89" s="20"/>
    </row>
    <row r="90" spans="1:12" ht="31" outlineLevel="3" x14ac:dyDescent="0.4">
      <c r="A90" s="17" t="s">
        <v>170</v>
      </c>
      <c r="B90" s="18" t="s">
        <v>171</v>
      </c>
      <c r="C90" s="19">
        <f>300000000-200000000</f>
        <v>100000000</v>
      </c>
      <c r="D90" s="19"/>
      <c r="E90" s="19"/>
      <c r="F90" s="19"/>
      <c r="G90" s="19"/>
      <c r="H90" s="19"/>
      <c r="I90" s="19"/>
      <c r="J90" s="19"/>
      <c r="K90" s="19">
        <f t="shared" si="6"/>
        <v>100000000</v>
      </c>
      <c r="L90" s="29" t="s">
        <v>308</v>
      </c>
    </row>
    <row r="91" spans="1:12" ht="31" outlineLevel="3" x14ac:dyDescent="0.4">
      <c r="A91" s="17" t="s">
        <v>172</v>
      </c>
      <c r="B91" s="18" t="s">
        <v>173</v>
      </c>
      <c r="C91" s="19">
        <f>225000000-225000000</f>
        <v>0</v>
      </c>
      <c r="D91" s="19"/>
      <c r="E91" s="19"/>
      <c r="F91" s="19"/>
      <c r="G91" s="19"/>
      <c r="H91" s="19"/>
      <c r="I91" s="19"/>
      <c r="J91" s="19"/>
      <c r="K91" s="19">
        <f t="shared" si="6"/>
        <v>0</v>
      </c>
      <c r="L91" s="20" t="s">
        <v>286</v>
      </c>
    </row>
    <row r="92" spans="1:12" ht="31" outlineLevel="3" x14ac:dyDescent="0.4">
      <c r="A92" s="17" t="s">
        <v>174</v>
      </c>
      <c r="B92" s="18" t="s">
        <v>175</v>
      </c>
      <c r="C92" s="19">
        <f>100000000-60000000</f>
        <v>40000000</v>
      </c>
      <c r="D92" s="19"/>
      <c r="E92" s="19"/>
      <c r="F92" s="19"/>
      <c r="G92" s="19"/>
      <c r="H92" s="19"/>
      <c r="I92" s="19"/>
      <c r="J92" s="19"/>
      <c r="K92" s="19">
        <f t="shared" si="6"/>
        <v>40000000</v>
      </c>
      <c r="L92" s="20" t="s">
        <v>276</v>
      </c>
    </row>
    <row r="93" spans="1:12" ht="31" outlineLevel="3" x14ac:dyDescent="0.4">
      <c r="A93" s="17" t="s">
        <v>176</v>
      </c>
      <c r="B93" s="18" t="s">
        <v>177</v>
      </c>
      <c r="C93" s="19">
        <f>961280000-611280000</f>
        <v>350000000</v>
      </c>
      <c r="D93" s="19"/>
      <c r="E93" s="19"/>
      <c r="F93" s="19"/>
      <c r="G93" s="19"/>
      <c r="H93" s="19"/>
      <c r="I93" s="19"/>
      <c r="J93" s="19"/>
      <c r="K93" s="19">
        <f t="shared" si="6"/>
        <v>350000000</v>
      </c>
      <c r="L93" s="20" t="s">
        <v>276</v>
      </c>
    </row>
    <row r="94" spans="1:12" ht="31" outlineLevel="3" x14ac:dyDescent="0.4">
      <c r="A94" s="17" t="s">
        <v>178</v>
      </c>
      <c r="B94" s="18" t="s">
        <v>179</v>
      </c>
      <c r="C94" s="19">
        <v>19500000</v>
      </c>
      <c r="D94" s="19"/>
      <c r="E94" s="19"/>
      <c r="F94" s="19"/>
      <c r="G94" s="19"/>
      <c r="H94" s="19"/>
      <c r="I94" s="19"/>
      <c r="J94" s="19"/>
      <c r="K94" s="19">
        <f t="shared" si="6"/>
        <v>19500000</v>
      </c>
      <c r="L94" s="20"/>
    </row>
    <row r="95" spans="1:12" ht="31" outlineLevel="3" x14ac:dyDescent="0.4">
      <c r="A95" s="17" t="s">
        <v>180</v>
      </c>
      <c r="B95" s="18" t="s">
        <v>181</v>
      </c>
      <c r="C95" s="19">
        <f>248000000-73000000</f>
        <v>175000000</v>
      </c>
      <c r="D95" s="19"/>
      <c r="E95" s="19"/>
      <c r="F95" s="19"/>
      <c r="G95" s="19"/>
      <c r="H95" s="19"/>
      <c r="I95" s="19"/>
      <c r="J95" s="19"/>
      <c r="K95" s="19">
        <f t="shared" si="6"/>
        <v>175000000</v>
      </c>
      <c r="L95" s="20" t="s">
        <v>276</v>
      </c>
    </row>
    <row r="96" spans="1:12" ht="46.5" outlineLevel="3" x14ac:dyDescent="0.4">
      <c r="A96" s="17" t="s">
        <v>182</v>
      </c>
      <c r="B96" s="18" t="s">
        <v>183</v>
      </c>
      <c r="C96" s="19">
        <f>1000000-1000000</f>
        <v>0</v>
      </c>
      <c r="D96" s="19"/>
      <c r="E96" s="19"/>
      <c r="F96" s="19"/>
      <c r="G96" s="19"/>
      <c r="H96" s="19"/>
      <c r="I96" s="19"/>
      <c r="J96" s="19"/>
      <c r="K96" s="19">
        <f t="shared" si="6"/>
        <v>0</v>
      </c>
      <c r="L96" s="20" t="s">
        <v>276</v>
      </c>
    </row>
    <row r="97" spans="1:12" ht="31" outlineLevel="3" x14ac:dyDescent="0.4">
      <c r="A97" s="17" t="s">
        <v>184</v>
      </c>
      <c r="B97" s="18" t="s">
        <v>185</v>
      </c>
      <c r="C97" s="19">
        <f>420500000-240500000</f>
        <v>180000000</v>
      </c>
      <c r="D97" s="19"/>
      <c r="E97" s="19"/>
      <c r="F97" s="19"/>
      <c r="G97" s="19"/>
      <c r="H97" s="19"/>
      <c r="I97" s="19"/>
      <c r="J97" s="19"/>
      <c r="K97" s="19">
        <f t="shared" si="6"/>
        <v>180000000</v>
      </c>
      <c r="L97" s="20" t="s">
        <v>276</v>
      </c>
    </row>
    <row r="98" spans="1:12" ht="31" outlineLevel="3" x14ac:dyDescent="0.4">
      <c r="A98" s="17" t="s">
        <v>186</v>
      </c>
      <c r="B98" s="18" t="s">
        <v>187</v>
      </c>
      <c r="C98" s="19">
        <f>2600000000-E98-511000000</f>
        <v>0</v>
      </c>
      <c r="D98" s="19"/>
      <c r="E98" s="19">
        <v>2089000000</v>
      </c>
      <c r="F98" s="19"/>
      <c r="G98" s="19"/>
      <c r="H98" s="19"/>
      <c r="I98" s="19"/>
      <c r="J98" s="19"/>
      <c r="K98" s="19">
        <f t="shared" si="6"/>
        <v>2089000000</v>
      </c>
      <c r="L98" s="20" t="s">
        <v>291</v>
      </c>
    </row>
    <row r="99" spans="1:12" ht="31" outlineLevel="3" x14ac:dyDescent="0.4">
      <c r="A99" s="17" t="s">
        <v>188</v>
      </c>
      <c r="B99" s="18" t="s">
        <v>189</v>
      </c>
      <c r="C99" s="19">
        <f>20400000-2900000</f>
        <v>17500000</v>
      </c>
      <c r="D99" s="19"/>
      <c r="E99" s="19"/>
      <c r="F99" s="19"/>
      <c r="G99" s="19"/>
      <c r="H99" s="19"/>
      <c r="I99" s="19"/>
      <c r="J99" s="19"/>
      <c r="K99" s="19">
        <f t="shared" si="6"/>
        <v>17500000</v>
      </c>
      <c r="L99" s="20" t="s">
        <v>276</v>
      </c>
    </row>
    <row r="100" spans="1:12" outlineLevel="1" x14ac:dyDescent="0.4">
      <c r="A100" s="9">
        <v>4.2395833333333334E-2</v>
      </c>
      <c r="B100" s="10" t="s">
        <v>190</v>
      </c>
      <c r="C100" s="11">
        <f t="shared" ref="C100:J100" si="8">SUM(C101,C106)</f>
        <v>238044000</v>
      </c>
      <c r="D100" s="11">
        <f t="shared" si="8"/>
        <v>0</v>
      </c>
      <c r="E100" s="11">
        <f t="shared" si="8"/>
        <v>0</v>
      </c>
      <c r="F100" s="11">
        <f t="shared" si="8"/>
        <v>0</v>
      </c>
      <c r="G100" s="11">
        <f t="shared" si="8"/>
        <v>0</v>
      </c>
      <c r="H100" s="11">
        <f t="shared" si="8"/>
        <v>0</v>
      </c>
      <c r="I100" s="11">
        <f t="shared" si="8"/>
        <v>0</v>
      </c>
      <c r="J100" s="11">
        <f t="shared" si="8"/>
        <v>0</v>
      </c>
      <c r="K100" s="11">
        <f t="shared" si="6"/>
        <v>238044000</v>
      </c>
      <c r="L100" s="12"/>
    </row>
    <row r="101" spans="1:12" ht="31" outlineLevel="2" x14ac:dyDescent="0.4">
      <c r="A101" s="13" t="s">
        <v>191</v>
      </c>
      <c r="B101" s="14" t="s">
        <v>192</v>
      </c>
      <c r="C101" s="15">
        <f t="shared" ref="C101:J101" si="9">SUM(C102:C105)</f>
        <v>148044000</v>
      </c>
      <c r="D101" s="15">
        <f t="shared" si="9"/>
        <v>0</v>
      </c>
      <c r="E101" s="15">
        <f t="shared" si="9"/>
        <v>0</v>
      </c>
      <c r="F101" s="15">
        <f t="shared" si="9"/>
        <v>0</v>
      </c>
      <c r="G101" s="15">
        <f t="shared" si="9"/>
        <v>0</v>
      </c>
      <c r="H101" s="15">
        <f t="shared" si="9"/>
        <v>0</v>
      </c>
      <c r="I101" s="15">
        <f t="shared" si="9"/>
        <v>0</v>
      </c>
      <c r="J101" s="15">
        <f t="shared" si="9"/>
        <v>0</v>
      </c>
      <c r="K101" s="15">
        <f t="shared" si="6"/>
        <v>148044000</v>
      </c>
      <c r="L101" s="16"/>
    </row>
    <row r="102" spans="1:12" ht="31" outlineLevel="3" x14ac:dyDescent="0.4">
      <c r="A102" s="17" t="s">
        <v>193</v>
      </c>
      <c r="B102" s="18" t="s">
        <v>194</v>
      </c>
      <c r="C102" s="19">
        <v>25000000</v>
      </c>
      <c r="D102" s="19"/>
      <c r="E102" s="19"/>
      <c r="F102" s="19"/>
      <c r="G102" s="19"/>
      <c r="H102" s="19"/>
      <c r="I102" s="19"/>
      <c r="J102" s="19"/>
      <c r="K102" s="19">
        <f t="shared" si="6"/>
        <v>25000000</v>
      </c>
      <c r="L102" s="20"/>
    </row>
    <row r="103" spans="1:12" ht="31" outlineLevel="3" x14ac:dyDescent="0.4">
      <c r="A103" s="17" t="s">
        <v>195</v>
      </c>
      <c r="B103" s="18" t="s">
        <v>196</v>
      </c>
      <c r="C103" s="19">
        <v>15000000</v>
      </c>
      <c r="D103" s="19"/>
      <c r="E103" s="19"/>
      <c r="F103" s="19"/>
      <c r="G103" s="19"/>
      <c r="H103" s="19"/>
      <c r="I103" s="19"/>
      <c r="J103" s="19"/>
      <c r="K103" s="19">
        <f t="shared" si="6"/>
        <v>15000000</v>
      </c>
      <c r="L103" s="20"/>
    </row>
    <row r="104" spans="1:12" ht="31" outlineLevel="3" x14ac:dyDescent="0.4">
      <c r="A104" s="17" t="s">
        <v>197</v>
      </c>
      <c r="B104" s="18" t="s">
        <v>198</v>
      </c>
      <c r="C104" s="19">
        <v>60000000</v>
      </c>
      <c r="D104" s="19"/>
      <c r="E104" s="19"/>
      <c r="F104" s="19"/>
      <c r="G104" s="19"/>
      <c r="H104" s="19"/>
      <c r="I104" s="19"/>
      <c r="J104" s="19"/>
      <c r="K104" s="19">
        <f t="shared" si="6"/>
        <v>60000000</v>
      </c>
      <c r="L104" s="20"/>
    </row>
    <row r="105" spans="1:12" ht="31" outlineLevel="3" x14ac:dyDescent="0.4">
      <c r="A105" s="17" t="s">
        <v>199</v>
      </c>
      <c r="B105" s="18" t="s">
        <v>200</v>
      </c>
      <c r="C105" s="19">
        <v>48044000</v>
      </c>
      <c r="D105" s="19"/>
      <c r="E105" s="19"/>
      <c r="F105" s="19"/>
      <c r="G105" s="19"/>
      <c r="H105" s="19"/>
      <c r="I105" s="19"/>
      <c r="J105" s="19"/>
      <c r="K105" s="19">
        <f t="shared" si="6"/>
        <v>48044000</v>
      </c>
      <c r="L105" s="20"/>
    </row>
    <row r="106" spans="1:12" ht="31" outlineLevel="2" x14ac:dyDescent="0.4">
      <c r="A106" s="13" t="s">
        <v>201</v>
      </c>
      <c r="B106" s="14" t="s">
        <v>202</v>
      </c>
      <c r="C106" s="15">
        <f t="shared" ref="C106:J106" si="10">SUM(C107:C109)</f>
        <v>90000000</v>
      </c>
      <c r="D106" s="15">
        <f t="shared" si="10"/>
        <v>0</v>
      </c>
      <c r="E106" s="15">
        <f t="shared" si="10"/>
        <v>0</v>
      </c>
      <c r="F106" s="15">
        <f t="shared" si="10"/>
        <v>0</v>
      </c>
      <c r="G106" s="15">
        <f t="shared" si="10"/>
        <v>0</v>
      </c>
      <c r="H106" s="15">
        <f t="shared" si="10"/>
        <v>0</v>
      </c>
      <c r="I106" s="15">
        <f t="shared" si="10"/>
        <v>0</v>
      </c>
      <c r="J106" s="15">
        <f t="shared" si="10"/>
        <v>0</v>
      </c>
      <c r="K106" s="15">
        <f t="shared" si="6"/>
        <v>90000000</v>
      </c>
      <c r="L106" s="16"/>
    </row>
    <row r="107" spans="1:12" ht="46.5" outlineLevel="3" x14ac:dyDescent="0.4">
      <c r="A107" s="17" t="s">
        <v>203</v>
      </c>
      <c r="B107" s="18" t="s">
        <v>204</v>
      </c>
      <c r="C107" s="19">
        <v>15000000</v>
      </c>
      <c r="D107" s="19"/>
      <c r="E107" s="19"/>
      <c r="F107" s="19"/>
      <c r="G107" s="19"/>
      <c r="H107" s="19"/>
      <c r="I107" s="19"/>
      <c r="J107" s="19"/>
      <c r="K107" s="19">
        <f t="shared" si="6"/>
        <v>15000000</v>
      </c>
      <c r="L107" s="20"/>
    </row>
    <row r="108" spans="1:12" ht="31" outlineLevel="3" x14ac:dyDescent="0.4">
      <c r="A108" s="17" t="s">
        <v>205</v>
      </c>
      <c r="B108" s="18" t="s">
        <v>206</v>
      </c>
      <c r="C108" s="19">
        <v>15000000</v>
      </c>
      <c r="D108" s="19"/>
      <c r="E108" s="19"/>
      <c r="F108" s="19"/>
      <c r="G108" s="19"/>
      <c r="H108" s="19"/>
      <c r="I108" s="19"/>
      <c r="J108" s="19"/>
      <c r="K108" s="19">
        <f t="shared" si="6"/>
        <v>15000000</v>
      </c>
      <c r="L108" s="20"/>
    </row>
    <row r="109" spans="1:12" ht="46.5" outlineLevel="3" x14ac:dyDescent="0.4">
      <c r="A109" s="17" t="s">
        <v>207</v>
      </c>
      <c r="B109" s="18" t="s">
        <v>208</v>
      </c>
      <c r="C109" s="19">
        <f>127848000-67848000</f>
        <v>60000000</v>
      </c>
      <c r="D109" s="19"/>
      <c r="E109" s="19"/>
      <c r="F109" s="19"/>
      <c r="G109" s="19"/>
      <c r="H109" s="19"/>
      <c r="I109" s="19"/>
      <c r="J109" s="19"/>
      <c r="K109" s="19">
        <f t="shared" si="6"/>
        <v>60000000</v>
      </c>
      <c r="L109" s="20" t="s">
        <v>276</v>
      </c>
    </row>
    <row r="110" spans="1:12" ht="31" outlineLevel="1" x14ac:dyDescent="0.4">
      <c r="A110" s="9">
        <v>4.2407407407407401E-2</v>
      </c>
      <c r="B110" s="10" t="s">
        <v>209</v>
      </c>
      <c r="C110" s="11">
        <f t="shared" ref="C110:J110" si="11">SUM(C111)</f>
        <v>14024526000</v>
      </c>
      <c r="D110" s="11">
        <f t="shared" si="11"/>
        <v>0</v>
      </c>
      <c r="E110" s="11">
        <f t="shared" si="11"/>
        <v>0</v>
      </c>
      <c r="F110" s="11">
        <f t="shared" si="11"/>
        <v>0</v>
      </c>
      <c r="G110" s="11">
        <f t="shared" si="11"/>
        <v>0</v>
      </c>
      <c r="H110" s="11">
        <f t="shared" si="11"/>
        <v>30000000</v>
      </c>
      <c r="I110" s="11">
        <f t="shared" si="11"/>
        <v>0</v>
      </c>
      <c r="J110" s="11">
        <f t="shared" si="11"/>
        <v>0</v>
      </c>
      <c r="K110" s="11">
        <f t="shared" si="6"/>
        <v>14054526000</v>
      </c>
      <c r="L110" s="12"/>
    </row>
    <row r="111" spans="1:12" ht="62" outlineLevel="2" x14ac:dyDescent="0.4">
      <c r="A111" s="13" t="s">
        <v>210</v>
      </c>
      <c r="B111" s="14" t="s">
        <v>211</v>
      </c>
      <c r="C111" s="15">
        <f t="shared" ref="C111:J111" si="12">SUM(C112:C113)</f>
        <v>14024526000</v>
      </c>
      <c r="D111" s="15">
        <f t="shared" si="12"/>
        <v>0</v>
      </c>
      <c r="E111" s="15">
        <f t="shared" si="12"/>
        <v>0</v>
      </c>
      <c r="F111" s="15">
        <f t="shared" si="12"/>
        <v>0</v>
      </c>
      <c r="G111" s="15">
        <f t="shared" si="12"/>
        <v>0</v>
      </c>
      <c r="H111" s="15">
        <f t="shared" si="12"/>
        <v>30000000</v>
      </c>
      <c r="I111" s="15">
        <f t="shared" si="12"/>
        <v>0</v>
      </c>
      <c r="J111" s="15">
        <f t="shared" si="12"/>
        <v>0</v>
      </c>
      <c r="K111" s="15">
        <f t="shared" si="6"/>
        <v>14054526000</v>
      </c>
      <c r="L111" s="16"/>
    </row>
    <row r="112" spans="1:12" ht="46.5" outlineLevel="3" x14ac:dyDescent="0.4">
      <c r="A112" s="17" t="s">
        <v>212</v>
      </c>
      <c r="B112" s="18" t="s">
        <v>213</v>
      </c>
      <c r="C112" s="19">
        <f>941000000-23520100+50000000+100</f>
        <v>967480000</v>
      </c>
      <c r="D112" s="19"/>
      <c r="E112" s="19"/>
      <c r="F112" s="19"/>
      <c r="G112" s="19"/>
      <c r="H112" s="19">
        <v>30000000</v>
      </c>
      <c r="I112" s="19"/>
      <c r="J112" s="19"/>
      <c r="K112" s="19">
        <f t="shared" si="6"/>
        <v>997480000</v>
      </c>
      <c r="L112" s="20" t="s">
        <v>311</v>
      </c>
    </row>
    <row r="113" spans="1:12" ht="46.5" outlineLevel="3" x14ac:dyDescent="0.4">
      <c r="A113" s="17" t="s">
        <v>214</v>
      </c>
      <c r="B113" s="18" t="s">
        <v>215</v>
      </c>
      <c r="C113" s="19">
        <f>13736637000+113363000-2600954000-192000000+2000000000</f>
        <v>13057046000</v>
      </c>
      <c r="D113" s="19"/>
      <c r="E113" s="19"/>
      <c r="F113" s="19"/>
      <c r="G113" s="19"/>
      <c r="H113" s="19"/>
      <c r="I113" s="19"/>
      <c r="J113" s="19"/>
      <c r="K113" s="19">
        <f t="shared" si="6"/>
        <v>13057046000</v>
      </c>
      <c r="L113" s="20" t="s">
        <v>312</v>
      </c>
    </row>
    <row r="114" spans="1:12" ht="31" outlineLevel="1" x14ac:dyDescent="0.4">
      <c r="A114" s="9" t="s">
        <v>216</v>
      </c>
      <c r="B114" s="10" t="s">
        <v>217</v>
      </c>
      <c r="C114" s="11">
        <f t="shared" ref="C114:J114" si="13">SUM(C115,C119,C123,C125,C127,C136,C140)</f>
        <v>110543387000</v>
      </c>
      <c r="D114" s="11">
        <f t="shared" si="13"/>
        <v>40000000</v>
      </c>
      <c r="E114" s="11">
        <f t="shared" si="13"/>
        <v>48852542000</v>
      </c>
      <c r="F114" s="11">
        <f t="shared" si="13"/>
        <v>0</v>
      </c>
      <c r="G114" s="11">
        <f t="shared" si="13"/>
        <v>0</v>
      </c>
      <c r="H114" s="11">
        <f t="shared" si="13"/>
        <v>0</v>
      </c>
      <c r="I114" s="11">
        <f t="shared" si="13"/>
        <v>0</v>
      </c>
      <c r="J114" s="11">
        <f t="shared" si="13"/>
        <v>0</v>
      </c>
      <c r="K114" s="11">
        <f t="shared" si="6"/>
        <v>159435929000</v>
      </c>
      <c r="L114" s="12"/>
    </row>
    <row r="115" spans="1:12" ht="31" outlineLevel="2" x14ac:dyDescent="0.4">
      <c r="A115" s="13" t="s">
        <v>218</v>
      </c>
      <c r="B115" s="14" t="s">
        <v>219</v>
      </c>
      <c r="C115" s="15">
        <f t="shared" ref="C115:J115" si="14">SUM(C116:C118)</f>
        <v>90550000</v>
      </c>
      <c r="D115" s="15">
        <f t="shared" si="14"/>
        <v>0</v>
      </c>
      <c r="E115" s="15">
        <f t="shared" si="14"/>
        <v>0</v>
      </c>
      <c r="F115" s="15">
        <f t="shared" si="14"/>
        <v>0</v>
      </c>
      <c r="G115" s="15">
        <f t="shared" si="14"/>
        <v>0</v>
      </c>
      <c r="H115" s="15">
        <f t="shared" si="14"/>
        <v>0</v>
      </c>
      <c r="I115" s="15">
        <f t="shared" si="14"/>
        <v>0</v>
      </c>
      <c r="J115" s="15">
        <f t="shared" si="14"/>
        <v>0</v>
      </c>
      <c r="K115" s="15">
        <f t="shared" si="6"/>
        <v>90550000</v>
      </c>
      <c r="L115" s="16"/>
    </row>
    <row r="116" spans="1:12" ht="31" outlineLevel="3" x14ac:dyDescent="0.4">
      <c r="A116" s="17" t="s">
        <v>220</v>
      </c>
      <c r="B116" s="18" t="s">
        <v>221</v>
      </c>
      <c r="C116" s="19">
        <v>3000000</v>
      </c>
      <c r="D116" s="19"/>
      <c r="E116" s="19"/>
      <c r="F116" s="19"/>
      <c r="G116" s="19"/>
      <c r="H116" s="19"/>
      <c r="I116" s="19"/>
      <c r="J116" s="19"/>
      <c r="K116" s="19">
        <f t="shared" si="6"/>
        <v>3000000</v>
      </c>
      <c r="L116" s="20" t="s">
        <v>292</v>
      </c>
    </row>
    <row r="117" spans="1:12" ht="31" outlineLevel="3" x14ac:dyDescent="0.4">
      <c r="A117" s="17" t="s">
        <v>222</v>
      </c>
      <c r="B117" s="18" t="s">
        <v>223</v>
      </c>
      <c r="C117" s="19">
        <v>3000000</v>
      </c>
      <c r="D117" s="19"/>
      <c r="E117" s="19"/>
      <c r="F117" s="19"/>
      <c r="G117" s="19"/>
      <c r="H117" s="19"/>
      <c r="I117" s="19"/>
      <c r="J117" s="19"/>
      <c r="K117" s="19">
        <f t="shared" si="6"/>
        <v>3000000</v>
      </c>
      <c r="L117" s="20" t="s">
        <v>292</v>
      </c>
    </row>
    <row r="118" spans="1:12" outlineLevel="3" x14ac:dyDescent="0.4">
      <c r="A118" s="17" t="s">
        <v>224</v>
      </c>
      <c r="B118" s="18" t="s">
        <v>225</v>
      </c>
      <c r="C118" s="19">
        <f>145000000-60450000</f>
        <v>84550000</v>
      </c>
      <c r="D118" s="19"/>
      <c r="E118" s="19"/>
      <c r="F118" s="19"/>
      <c r="G118" s="19"/>
      <c r="H118" s="19"/>
      <c r="I118" s="19"/>
      <c r="J118" s="19"/>
      <c r="K118" s="19">
        <f t="shared" si="6"/>
        <v>84550000</v>
      </c>
      <c r="L118" s="20" t="s">
        <v>292</v>
      </c>
    </row>
    <row r="119" spans="1:12" outlineLevel="2" x14ac:dyDescent="0.4">
      <c r="A119" s="13" t="s">
        <v>226</v>
      </c>
      <c r="B119" s="14" t="s">
        <v>227</v>
      </c>
      <c r="C119" s="15">
        <f t="shared" ref="C119:J119" si="15">SUM(C120:C122)</f>
        <v>108813089000</v>
      </c>
      <c r="D119" s="15">
        <f t="shared" si="15"/>
        <v>0</v>
      </c>
      <c r="E119" s="15">
        <f t="shared" si="15"/>
        <v>48852542000</v>
      </c>
      <c r="F119" s="15">
        <f t="shared" si="15"/>
        <v>0</v>
      </c>
      <c r="G119" s="15">
        <f t="shared" si="15"/>
        <v>0</v>
      </c>
      <c r="H119" s="15">
        <f t="shared" si="15"/>
        <v>0</v>
      </c>
      <c r="I119" s="15">
        <f t="shared" si="15"/>
        <v>0</v>
      </c>
      <c r="J119" s="15">
        <f t="shared" si="15"/>
        <v>0</v>
      </c>
      <c r="K119" s="15">
        <f t="shared" si="6"/>
        <v>157665631000</v>
      </c>
      <c r="L119" s="16"/>
    </row>
    <row r="120" spans="1:12" outlineLevel="3" x14ac:dyDescent="0.4">
      <c r="A120" s="17" t="s">
        <v>228</v>
      </c>
      <c r="B120" s="18" t="s">
        <v>229</v>
      </c>
      <c r="C120" s="19">
        <f>157132881000-E120</f>
        <v>108280339000</v>
      </c>
      <c r="D120" s="19"/>
      <c r="E120" s="19">
        <v>48852542000</v>
      </c>
      <c r="F120" s="19"/>
      <c r="G120" s="19"/>
      <c r="H120" s="19"/>
      <c r="I120" s="19"/>
      <c r="J120" s="19"/>
      <c r="K120" s="19">
        <f t="shared" si="6"/>
        <v>157132881000</v>
      </c>
      <c r="L120" s="20" t="s">
        <v>31</v>
      </c>
    </row>
    <row r="121" spans="1:12" ht="31" outlineLevel="3" x14ac:dyDescent="0.4">
      <c r="A121" s="17" t="s">
        <v>230</v>
      </c>
      <c r="B121" s="18" t="s">
        <v>231</v>
      </c>
      <c r="C121" s="19">
        <v>529000000</v>
      </c>
      <c r="D121" s="19"/>
      <c r="E121" s="19"/>
      <c r="F121" s="19"/>
      <c r="G121" s="19"/>
      <c r="H121" s="19"/>
      <c r="I121" s="19"/>
      <c r="J121" s="19"/>
      <c r="K121" s="19">
        <f t="shared" si="6"/>
        <v>529000000</v>
      </c>
      <c r="L121" s="20"/>
    </row>
    <row r="122" spans="1:12" ht="31" outlineLevel="3" x14ac:dyDescent="0.4">
      <c r="A122" s="17" t="s">
        <v>232</v>
      </c>
      <c r="B122" s="18" t="s">
        <v>233</v>
      </c>
      <c r="C122" s="19">
        <v>3750000</v>
      </c>
      <c r="D122" s="19"/>
      <c r="E122" s="19"/>
      <c r="F122" s="19"/>
      <c r="G122" s="19"/>
      <c r="H122" s="19"/>
      <c r="I122" s="19"/>
      <c r="J122" s="19"/>
      <c r="K122" s="19">
        <f t="shared" si="6"/>
        <v>3750000</v>
      </c>
      <c r="L122" s="20"/>
    </row>
    <row r="123" spans="1:12" ht="31" outlineLevel="2" x14ac:dyDescent="0.4">
      <c r="A123" s="13" t="s">
        <v>234</v>
      </c>
      <c r="B123" s="14" t="s">
        <v>235</v>
      </c>
      <c r="C123" s="15">
        <f t="shared" ref="C123:J123" si="16">SUM(C124)</f>
        <v>88767000</v>
      </c>
      <c r="D123" s="15">
        <f t="shared" si="16"/>
        <v>0</v>
      </c>
      <c r="E123" s="15">
        <f t="shared" si="16"/>
        <v>0</v>
      </c>
      <c r="F123" s="15">
        <f t="shared" si="16"/>
        <v>0</v>
      </c>
      <c r="G123" s="15">
        <f t="shared" si="16"/>
        <v>0</v>
      </c>
      <c r="H123" s="15">
        <f t="shared" si="16"/>
        <v>0</v>
      </c>
      <c r="I123" s="15">
        <f t="shared" si="16"/>
        <v>0</v>
      </c>
      <c r="J123" s="15">
        <f t="shared" si="16"/>
        <v>0</v>
      </c>
      <c r="K123" s="15">
        <f t="shared" si="6"/>
        <v>88767000</v>
      </c>
      <c r="L123" s="16"/>
    </row>
    <row r="124" spans="1:12" ht="31" outlineLevel="3" x14ac:dyDescent="0.4">
      <c r="A124" s="17" t="s">
        <v>236</v>
      </c>
      <c r="B124" s="18" t="s">
        <v>237</v>
      </c>
      <c r="C124" s="19">
        <v>88767000</v>
      </c>
      <c r="D124" s="19"/>
      <c r="E124" s="19"/>
      <c r="F124" s="19"/>
      <c r="G124" s="19"/>
      <c r="H124" s="19"/>
      <c r="I124" s="19"/>
      <c r="J124" s="19"/>
      <c r="K124" s="19">
        <f t="shared" si="6"/>
        <v>88767000</v>
      </c>
      <c r="L124" s="20"/>
    </row>
    <row r="125" spans="1:12" outlineLevel="2" x14ac:dyDescent="0.4">
      <c r="A125" s="13" t="s">
        <v>238</v>
      </c>
      <c r="B125" s="14" t="s">
        <v>239</v>
      </c>
      <c r="C125" s="15">
        <f t="shared" ref="C125:J125" si="17">SUM(C126)</f>
        <v>9500000</v>
      </c>
      <c r="D125" s="15">
        <f t="shared" si="17"/>
        <v>0</v>
      </c>
      <c r="E125" s="15">
        <f t="shared" si="17"/>
        <v>0</v>
      </c>
      <c r="F125" s="15">
        <f t="shared" si="17"/>
        <v>0</v>
      </c>
      <c r="G125" s="15">
        <f t="shared" si="17"/>
        <v>0</v>
      </c>
      <c r="H125" s="15">
        <f t="shared" si="17"/>
        <v>0</v>
      </c>
      <c r="I125" s="15">
        <f t="shared" si="17"/>
        <v>0</v>
      </c>
      <c r="J125" s="15">
        <f t="shared" si="17"/>
        <v>0</v>
      </c>
      <c r="K125" s="15">
        <f t="shared" si="6"/>
        <v>9500000</v>
      </c>
      <c r="L125" s="16"/>
    </row>
    <row r="126" spans="1:12" ht="31" outlineLevel="3" x14ac:dyDescent="0.4">
      <c r="A126" s="17" t="s">
        <v>240</v>
      </c>
      <c r="B126" s="18" t="s">
        <v>241</v>
      </c>
      <c r="C126" s="19">
        <f>8820000+680000</f>
        <v>9500000</v>
      </c>
      <c r="D126" s="19"/>
      <c r="E126" s="19"/>
      <c r="F126" s="19"/>
      <c r="G126" s="19"/>
      <c r="H126" s="19"/>
      <c r="I126" s="19"/>
      <c r="J126" s="19"/>
      <c r="K126" s="19">
        <f t="shared" si="6"/>
        <v>9500000</v>
      </c>
      <c r="L126" s="20"/>
    </row>
    <row r="127" spans="1:12" outlineLevel="2" x14ac:dyDescent="0.4">
      <c r="A127" s="13" t="s">
        <v>242</v>
      </c>
      <c r="B127" s="14" t="s">
        <v>243</v>
      </c>
      <c r="C127" s="15">
        <f t="shared" ref="C127:J127" si="18">SUM(C128:C135)</f>
        <v>607272000</v>
      </c>
      <c r="D127" s="15">
        <f t="shared" si="18"/>
        <v>40000000</v>
      </c>
      <c r="E127" s="15">
        <f t="shared" si="18"/>
        <v>0</v>
      </c>
      <c r="F127" s="15">
        <f t="shared" si="18"/>
        <v>0</v>
      </c>
      <c r="G127" s="15">
        <f t="shared" si="18"/>
        <v>0</v>
      </c>
      <c r="H127" s="15">
        <f t="shared" si="18"/>
        <v>0</v>
      </c>
      <c r="I127" s="15">
        <f t="shared" si="18"/>
        <v>0</v>
      </c>
      <c r="J127" s="15">
        <f t="shared" si="18"/>
        <v>0</v>
      </c>
      <c r="K127" s="15">
        <f t="shared" si="6"/>
        <v>647272000</v>
      </c>
      <c r="L127" s="16"/>
    </row>
    <row r="128" spans="1:12" ht="31" outlineLevel="3" x14ac:dyDescent="0.4">
      <c r="A128" s="17" t="s">
        <v>244</v>
      </c>
      <c r="B128" s="18" t="s">
        <v>245</v>
      </c>
      <c r="C128" s="19">
        <f>15940000-5940000</f>
        <v>10000000</v>
      </c>
      <c r="D128" s="19"/>
      <c r="E128" s="19"/>
      <c r="F128" s="19"/>
      <c r="G128" s="19"/>
      <c r="H128" s="19"/>
      <c r="I128" s="19"/>
      <c r="J128" s="19"/>
      <c r="K128" s="19">
        <f t="shared" si="6"/>
        <v>10000000</v>
      </c>
      <c r="L128" s="20" t="s">
        <v>276</v>
      </c>
    </row>
    <row r="129" spans="1:12" outlineLevel="3" x14ac:dyDescent="0.4">
      <c r="A129" s="17" t="s">
        <v>246</v>
      </c>
      <c r="B129" s="18" t="s">
        <v>247</v>
      </c>
      <c r="C129" s="19">
        <f>151548000+224100-100</f>
        <v>151772000</v>
      </c>
      <c r="D129" s="19"/>
      <c r="E129" s="19"/>
      <c r="F129" s="19"/>
      <c r="G129" s="19"/>
      <c r="H129" s="19"/>
      <c r="I129" s="19"/>
      <c r="J129" s="19"/>
      <c r="K129" s="19">
        <f t="shared" si="6"/>
        <v>151772000</v>
      </c>
      <c r="L129" s="20" t="s">
        <v>276</v>
      </c>
    </row>
    <row r="130" spans="1:12" outlineLevel="3" x14ac:dyDescent="0.4">
      <c r="A130" s="17" t="s">
        <v>248</v>
      </c>
      <c r="B130" s="18" t="s">
        <v>249</v>
      </c>
      <c r="C130" s="19">
        <f>12320000-1320000</f>
        <v>11000000</v>
      </c>
      <c r="D130" s="19"/>
      <c r="E130" s="19"/>
      <c r="F130" s="19"/>
      <c r="G130" s="19"/>
      <c r="H130" s="19"/>
      <c r="I130" s="19"/>
      <c r="J130" s="19"/>
      <c r="K130" s="19">
        <f t="shared" si="6"/>
        <v>11000000</v>
      </c>
      <c r="L130" s="20" t="s">
        <v>276</v>
      </c>
    </row>
    <row r="131" spans="1:12" outlineLevel="3" x14ac:dyDescent="0.4">
      <c r="A131" s="17" t="s">
        <v>250</v>
      </c>
      <c r="B131" s="18" t="s">
        <v>251</v>
      </c>
      <c r="C131" s="19">
        <v>72000000</v>
      </c>
      <c r="D131" s="19"/>
      <c r="E131" s="19"/>
      <c r="F131" s="19"/>
      <c r="G131" s="19"/>
      <c r="H131" s="19"/>
      <c r="I131" s="19"/>
      <c r="J131" s="19"/>
      <c r="K131" s="19">
        <f t="shared" si="6"/>
        <v>72000000</v>
      </c>
      <c r="L131" s="20"/>
    </row>
    <row r="132" spans="1:12" outlineLevel="3" x14ac:dyDescent="0.4">
      <c r="A132" s="17" t="s">
        <v>252</v>
      </c>
      <c r="B132" s="18" t="s">
        <v>253</v>
      </c>
      <c r="C132" s="19">
        <v>15000000</v>
      </c>
      <c r="D132" s="19"/>
      <c r="E132" s="19"/>
      <c r="F132" s="19"/>
      <c r="G132" s="19"/>
      <c r="H132" s="19"/>
      <c r="I132" s="19"/>
      <c r="J132" s="19"/>
      <c r="K132" s="19">
        <f t="shared" si="6"/>
        <v>15000000</v>
      </c>
      <c r="L132" s="20"/>
    </row>
    <row r="133" spans="1:12" ht="31" outlineLevel="3" x14ac:dyDescent="0.4">
      <c r="A133" s="17" t="s">
        <v>254</v>
      </c>
      <c r="B133" s="18" t="s">
        <v>255</v>
      </c>
      <c r="C133" s="19">
        <f>3000000-500000</f>
        <v>2500000</v>
      </c>
      <c r="D133" s="19"/>
      <c r="E133" s="19"/>
      <c r="F133" s="19"/>
      <c r="G133" s="19"/>
      <c r="H133" s="19"/>
      <c r="I133" s="19"/>
      <c r="J133" s="19"/>
      <c r="K133" s="19">
        <f t="shared" ref="K133:K143" si="19">SUM(C133:J133)</f>
        <v>2500000</v>
      </c>
      <c r="L133" s="20"/>
    </row>
    <row r="134" spans="1:12" ht="31" outlineLevel="3" x14ac:dyDescent="0.4">
      <c r="A134" s="17" t="s">
        <v>256</v>
      </c>
      <c r="B134" s="18" t="s">
        <v>257</v>
      </c>
      <c r="C134" s="19">
        <f>150000000-5000000</f>
        <v>145000000</v>
      </c>
      <c r="D134" s="19"/>
      <c r="E134" s="19"/>
      <c r="F134" s="19"/>
      <c r="G134" s="19"/>
      <c r="H134" s="19"/>
      <c r="I134" s="19"/>
      <c r="J134" s="19"/>
      <c r="K134" s="19">
        <f t="shared" si="19"/>
        <v>145000000</v>
      </c>
      <c r="L134" s="20"/>
    </row>
    <row r="135" spans="1:12" ht="31" outlineLevel="3" x14ac:dyDescent="0.4">
      <c r="A135" s="17" t="s">
        <v>258</v>
      </c>
      <c r="B135" s="18" t="s">
        <v>259</v>
      </c>
      <c r="C135" s="19">
        <f>200000000-D135+40000000</f>
        <v>200000000</v>
      </c>
      <c r="D135" s="19">
        <v>40000000</v>
      </c>
      <c r="E135" s="19"/>
      <c r="F135" s="19"/>
      <c r="G135" s="19"/>
      <c r="H135" s="19"/>
      <c r="I135" s="19"/>
      <c r="J135" s="19"/>
      <c r="K135" s="19">
        <f t="shared" si="19"/>
        <v>240000000</v>
      </c>
      <c r="L135" s="20" t="s">
        <v>293</v>
      </c>
    </row>
    <row r="136" spans="1:12" ht="31" outlineLevel="2" x14ac:dyDescent="0.4">
      <c r="A136" s="13" t="s">
        <v>260</v>
      </c>
      <c r="B136" s="14" t="s">
        <v>261</v>
      </c>
      <c r="C136" s="15">
        <f t="shared" ref="C136:J136" si="20">SUM(C137:C139)</f>
        <v>664941000</v>
      </c>
      <c r="D136" s="15">
        <f t="shared" si="20"/>
        <v>0</v>
      </c>
      <c r="E136" s="15">
        <f t="shared" si="20"/>
        <v>0</v>
      </c>
      <c r="F136" s="15">
        <f t="shared" si="20"/>
        <v>0</v>
      </c>
      <c r="G136" s="15">
        <f t="shared" si="20"/>
        <v>0</v>
      </c>
      <c r="H136" s="15">
        <f t="shared" si="20"/>
        <v>0</v>
      </c>
      <c r="I136" s="15">
        <f t="shared" si="20"/>
        <v>0</v>
      </c>
      <c r="J136" s="15">
        <f t="shared" si="20"/>
        <v>0</v>
      </c>
      <c r="K136" s="15">
        <f t="shared" si="19"/>
        <v>664941000</v>
      </c>
      <c r="L136" s="16"/>
    </row>
    <row r="137" spans="1:12" outlineLevel="3" x14ac:dyDescent="0.4">
      <c r="A137" s="17" t="s">
        <v>262</v>
      </c>
      <c r="B137" s="18" t="s">
        <v>263</v>
      </c>
      <c r="C137" s="19">
        <v>7000000</v>
      </c>
      <c r="D137" s="19"/>
      <c r="E137" s="19"/>
      <c r="F137" s="19"/>
      <c r="G137" s="19"/>
      <c r="H137" s="19"/>
      <c r="I137" s="19"/>
      <c r="J137" s="19"/>
      <c r="K137" s="19">
        <f t="shared" si="19"/>
        <v>7000000</v>
      </c>
      <c r="L137" s="20"/>
    </row>
    <row r="138" spans="1:12" ht="31" outlineLevel="3" x14ac:dyDescent="0.4">
      <c r="A138" s="17" t="s">
        <v>264</v>
      </c>
      <c r="B138" s="18" t="s">
        <v>265</v>
      </c>
      <c r="C138" s="19">
        <f>285045000+35796000</f>
        <v>320841000</v>
      </c>
      <c r="D138" s="19"/>
      <c r="E138" s="19"/>
      <c r="F138" s="19"/>
      <c r="G138" s="19"/>
      <c r="H138" s="19"/>
      <c r="I138" s="19"/>
      <c r="J138" s="19"/>
      <c r="K138" s="19">
        <f t="shared" si="19"/>
        <v>320841000</v>
      </c>
      <c r="L138" s="20" t="s">
        <v>276</v>
      </c>
    </row>
    <row r="139" spans="1:12" outlineLevel="3" x14ac:dyDescent="0.4">
      <c r="A139" s="17" t="s">
        <v>266</v>
      </c>
      <c r="B139" s="18" t="s">
        <v>267</v>
      </c>
      <c r="C139" s="19">
        <v>337100000</v>
      </c>
      <c r="D139" s="19"/>
      <c r="E139" s="19"/>
      <c r="F139" s="19"/>
      <c r="G139" s="19"/>
      <c r="H139" s="19"/>
      <c r="I139" s="19"/>
      <c r="J139" s="19"/>
      <c r="K139" s="19">
        <f t="shared" si="19"/>
        <v>337100000</v>
      </c>
      <c r="L139" s="20"/>
    </row>
    <row r="140" spans="1:12" ht="31" outlineLevel="2" x14ac:dyDescent="0.4">
      <c r="A140" s="13" t="s">
        <v>268</v>
      </c>
      <c r="B140" s="14" t="s">
        <v>269</v>
      </c>
      <c r="C140" s="15">
        <f t="shared" ref="C140:J140" si="21">SUM(C141:C143)</f>
        <v>269268000</v>
      </c>
      <c r="D140" s="15">
        <f t="shared" si="21"/>
        <v>0</v>
      </c>
      <c r="E140" s="15">
        <f t="shared" si="21"/>
        <v>0</v>
      </c>
      <c r="F140" s="15">
        <f t="shared" si="21"/>
        <v>0</v>
      </c>
      <c r="G140" s="15">
        <f t="shared" si="21"/>
        <v>0</v>
      </c>
      <c r="H140" s="15">
        <f t="shared" si="21"/>
        <v>0</v>
      </c>
      <c r="I140" s="15">
        <f t="shared" si="21"/>
        <v>0</v>
      </c>
      <c r="J140" s="15">
        <f t="shared" si="21"/>
        <v>0</v>
      </c>
      <c r="K140" s="15">
        <f t="shared" si="19"/>
        <v>269268000</v>
      </c>
      <c r="L140" s="16"/>
    </row>
    <row r="141" spans="1:12" ht="46.5" outlineLevel="3" x14ac:dyDescent="0.4">
      <c r="A141" s="17" t="s">
        <v>270</v>
      </c>
      <c r="B141" s="18" t="s">
        <v>271</v>
      </c>
      <c r="C141" s="19">
        <f>60820000+8448000</f>
        <v>69268000</v>
      </c>
      <c r="D141" s="19"/>
      <c r="E141" s="19"/>
      <c r="F141" s="19"/>
      <c r="G141" s="19"/>
      <c r="H141" s="19"/>
      <c r="I141" s="19"/>
      <c r="J141" s="19"/>
      <c r="K141" s="19">
        <f t="shared" si="19"/>
        <v>69268000</v>
      </c>
      <c r="L141" s="20" t="s">
        <v>313</v>
      </c>
    </row>
    <row r="142" spans="1:12" ht="31" outlineLevel="3" x14ac:dyDescent="0.4">
      <c r="A142" s="17" t="s">
        <v>272</v>
      </c>
      <c r="B142" s="18" t="s">
        <v>273</v>
      </c>
      <c r="C142" s="19">
        <f>125088000+24912000</f>
        <v>150000000</v>
      </c>
      <c r="D142" s="19"/>
      <c r="E142" s="19"/>
      <c r="F142" s="19"/>
      <c r="G142" s="19"/>
      <c r="H142" s="19"/>
      <c r="I142" s="19"/>
      <c r="J142" s="19"/>
      <c r="K142" s="19">
        <f t="shared" si="19"/>
        <v>150000000</v>
      </c>
      <c r="L142" s="30" t="s">
        <v>309</v>
      </c>
    </row>
    <row r="143" spans="1:12" ht="46.5" outlineLevel="3" x14ac:dyDescent="0.4">
      <c r="A143" s="17" t="s">
        <v>274</v>
      </c>
      <c r="B143" s="18" t="s">
        <v>275</v>
      </c>
      <c r="C143" s="19">
        <v>50000000</v>
      </c>
      <c r="D143" s="19"/>
      <c r="E143" s="19"/>
      <c r="F143" s="19"/>
      <c r="G143" s="19"/>
      <c r="H143" s="19"/>
      <c r="I143" s="19"/>
      <c r="J143" s="19"/>
      <c r="K143" s="19">
        <f t="shared" si="19"/>
        <v>50000000</v>
      </c>
      <c r="L143" s="20"/>
    </row>
  </sheetData>
  <autoFilter ref="A3:L143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2022-06-27T04:46:17Z</dcterms:modified>
</cp:coreProperties>
</file>